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inokvernadze\AppData\Local\Microsoft\Windows\INetCache\Content.Outlook\MY5XQBV3\"/>
    </mc:Choice>
  </mc:AlternateContent>
  <bookViews>
    <workbookView xWindow="0" yWindow="0" windowWidth="28800" windowHeight="11400" tabRatio="633"/>
  </bookViews>
  <sheets>
    <sheet name="TOTAL " sheetId="24" r:id="rId1"/>
    <sheet name=" WORKS I" sheetId="21" r:id="rId2"/>
    <sheet name=" GOODS I" sheetId="22" r:id="rId3"/>
    <sheet name=" CS I " sheetId="23" r:id="rId4"/>
    <sheet name="CS COMP.III" sheetId="15" r:id="rId5"/>
    <sheet name="signed contracts" sheetId="25" r:id="rId6"/>
  </sheets>
  <definedNames>
    <definedName name="_xlnm.Print_Area" localSheetId="2">' GOODS I'!$A$1:$P$74</definedName>
    <definedName name="_xlnm.Print_Area" localSheetId="1">' WORKS I'!$A$1:$O$7</definedName>
    <definedName name="_xlnm.Print_Area" localSheetId="0">'TOTAL '!$A$1:$I$36</definedName>
  </definedNames>
  <calcPr calcId="162913"/>
</workbook>
</file>

<file path=xl/calcChain.xml><?xml version="1.0" encoding="utf-8"?>
<calcChain xmlns="http://schemas.openxmlformats.org/spreadsheetml/2006/main">
  <c r="H15" i="24" l="1"/>
  <c r="E15" i="24"/>
  <c r="F22" i="22"/>
  <c r="F4" i="22"/>
  <c r="F7" i="22"/>
  <c r="F8" i="22"/>
  <c r="D8" i="24" l="1"/>
  <c r="D11" i="24"/>
  <c r="K9" i="25" l="1"/>
  <c r="K3" i="25"/>
  <c r="K2" i="25"/>
  <c r="F47" i="22" l="1"/>
  <c r="F13" i="22" l="1"/>
  <c r="F24" i="22" s="1"/>
  <c r="F57" i="22" l="1"/>
  <c r="H12" i="24" s="1"/>
  <c r="D26" i="24" l="1"/>
  <c r="P52" i="22" l="1"/>
  <c r="F45" i="22"/>
  <c r="D12" i="24" l="1"/>
  <c r="F46" i="22" l="1"/>
  <c r="F53" i="22" s="1"/>
  <c r="P47" i="22"/>
  <c r="P50" i="22"/>
  <c r="P57" i="22" l="1"/>
  <c r="E12" i="24" s="1"/>
  <c r="F12" i="24" l="1"/>
  <c r="G12" i="24"/>
  <c r="P37" i="22"/>
  <c r="P20" i="22"/>
  <c r="P24" i="22" s="1"/>
  <c r="E8" i="24" s="1"/>
  <c r="E10" i="15" l="1"/>
  <c r="H30" i="24" s="1"/>
  <c r="H31" i="24" s="1"/>
  <c r="K8" i="15"/>
  <c r="K7" i="15"/>
  <c r="K6" i="15"/>
  <c r="K5" i="15"/>
  <c r="K4" i="15"/>
  <c r="K3" i="15"/>
  <c r="E2" i="15"/>
  <c r="D24" i="24"/>
  <c r="H23" i="24"/>
  <c r="E23" i="24"/>
  <c r="E24" i="24" s="1"/>
  <c r="G6" i="23"/>
  <c r="P6" i="23"/>
  <c r="G2" i="23"/>
  <c r="F3" i="21"/>
  <c r="O7" i="21"/>
  <c r="E19" i="24" s="1"/>
  <c r="F19" i="24" s="1"/>
  <c r="F7" i="21"/>
  <c r="H19" i="24" s="1"/>
  <c r="G23" i="24" l="1"/>
  <c r="G24" i="24" s="1"/>
  <c r="K10" i="15"/>
  <c r="E30" i="24" s="1"/>
  <c r="G30" i="24" s="1"/>
  <c r="G31" i="24" s="1"/>
  <c r="H24" i="24"/>
  <c r="H8" i="24"/>
  <c r="P45" i="22"/>
  <c r="P46" i="22"/>
  <c r="F72" i="22"/>
  <c r="P72" i="22"/>
  <c r="D16" i="24"/>
  <c r="F68" i="22"/>
  <c r="P63" i="22"/>
  <c r="F67" i="22"/>
  <c r="H14" i="24" s="1"/>
  <c r="P67" i="22"/>
  <c r="E13" i="24" s="1"/>
  <c r="F64" i="22"/>
  <c r="F58" i="22"/>
  <c r="F54" i="22"/>
  <c r="F31" i="22"/>
  <c r="F28" i="22"/>
  <c r="F25" i="22"/>
  <c r="F12" i="22"/>
  <c r="F2" i="22"/>
  <c r="P53" i="22"/>
  <c r="F29" i="22"/>
  <c r="F30" i="22" s="1"/>
  <c r="H10" i="24" s="1"/>
  <c r="P30" i="22"/>
  <c r="E10" i="24" s="1"/>
  <c r="E14" i="24"/>
  <c r="P27" i="22"/>
  <c r="E9" i="24" s="1"/>
  <c r="F26" i="22"/>
  <c r="F27" i="22" s="1"/>
  <c r="H9" i="24" s="1"/>
  <c r="E11" i="24" l="1"/>
  <c r="G8" i="24"/>
  <c r="H11" i="24"/>
  <c r="G15" i="24"/>
  <c r="F15" i="24"/>
  <c r="G14" i="24"/>
  <c r="G9" i="24"/>
  <c r="G11" i="24" l="1"/>
  <c r="F11" i="24"/>
  <c r="F11" i="22" l="1"/>
  <c r="H7" i="24" s="1"/>
  <c r="P3" i="22"/>
  <c r="P11" i="22" s="1"/>
  <c r="E7" i="24" s="1"/>
  <c r="E16" i="24" s="1"/>
  <c r="G7" i="24" l="1"/>
  <c r="D31" i="24" l="1"/>
  <c r="E31" i="24"/>
  <c r="F23" i="24"/>
  <c r="F24" i="24" s="1"/>
  <c r="D20" i="24"/>
  <c r="E20" i="24"/>
  <c r="E36" i="24" s="1"/>
  <c r="D36" i="24" l="1"/>
  <c r="F30" i="24"/>
  <c r="F31" i="24" s="1"/>
  <c r="F20" i="24"/>
  <c r="H20" i="24"/>
  <c r="G19" i="24" l="1"/>
  <c r="G20" i="24" s="1"/>
  <c r="F10" i="24" l="1"/>
  <c r="G10" i="24"/>
  <c r="F63" i="22"/>
  <c r="H13" i="24" s="1"/>
  <c r="G13" i="24" s="1"/>
  <c r="F9" i="24"/>
  <c r="F13" i="24"/>
  <c r="F14" i="24"/>
  <c r="F7" i="24" l="1"/>
  <c r="F8" i="24" l="1"/>
  <c r="F16" i="24" l="1"/>
  <c r="H16" i="24"/>
  <c r="G16" i="24"/>
  <c r="F36" i="24" l="1"/>
  <c r="E3" i="24" s="1"/>
</calcChain>
</file>

<file path=xl/sharedStrings.xml><?xml version="1.0" encoding="utf-8"?>
<sst xmlns="http://schemas.openxmlformats.org/spreadsheetml/2006/main" count="468" uniqueCount="222">
  <si>
    <t>Activity  Reference No. / Description:</t>
  </si>
  <si>
    <t>Direct</t>
  </si>
  <si>
    <t>Limited</t>
  </si>
  <si>
    <t>COVID19/CS/QBS-01 / Training and technical assistance to MoLSHA</t>
  </si>
  <si>
    <t>Consultant Services</t>
  </si>
  <si>
    <t>COVID19/CS/CDS-02 / Technical Assistance for post crises COVID-19 strategy for Health Sector - Assistant Consultant</t>
  </si>
  <si>
    <t>COVID19/CS/CDS-01 / Technical Assistance for post-crises COVID-19 strategy for Health Sector - Lead Consultant</t>
  </si>
  <si>
    <t>COVID19/CS/INDV-01 / Procurement Manager</t>
  </si>
  <si>
    <t>COVID19/CS/INDV-03 / Procurement Specialist</t>
  </si>
  <si>
    <t>COVID19/CS/INDV-04 / Health Specialist</t>
  </si>
  <si>
    <t>COVID19/CS/INDV-02 / Financial Manager</t>
  </si>
  <si>
    <t>COVID19/CS/INDV-05 / Social Standards Specialist</t>
  </si>
  <si>
    <t>COVID19/G/DC-09 / Procurement of Qiagen RNA Mini Kit</t>
  </si>
  <si>
    <t>COVID19/G/DC-03 / Procurement of Mobile Emergency Ventilators and Related Services</t>
  </si>
  <si>
    <t>COVID19/CW/RFB-01 / Repair works of public health facilities</t>
  </si>
  <si>
    <t>Open - National</t>
  </si>
  <si>
    <t/>
  </si>
  <si>
    <t>COVID19/G/DC-02 / Procurement of Critical Care Ventilators and Related Services</t>
  </si>
  <si>
    <t>Project Management</t>
  </si>
  <si>
    <t>COVID19/CS/INDV-06 / Environmental Standards Specialist</t>
  </si>
  <si>
    <t xml:space="preserve">Laboratory Supplies COVID19/G/RFQ-05 </t>
  </si>
  <si>
    <t>Component 1. Emergency COVID-19 Response</t>
  </si>
  <si>
    <t>1. Procurement of Personal Protective Equipment</t>
  </si>
  <si>
    <t>2. COVID19/G/DC-06 / Procurement of Hospital Equipment for four dedicated COVID-19 clinics: Rukhi Hospital, Batumi Hospital, Lisi Hospital and Infectious Disease Hospital</t>
  </si>
  <si>
    <t>4.  COVID19/G/RFQ-01 / Procurement of fully equipped Ambulance car C type - Intensive Care Mobile Unit (30 Units)</t>
  </si>
  <si>
    <t>5. COVID19/G/DC-07 / Procurement of Diagnostic Supplies</t>
  </si>
  <si>
    <t>6. COVID19/G/RFQ-02 / Procurement of Equipment for Emergency Control Center</t>
  </si>
  <si>
    <t>7. COVID19/G/RFQ-07 / Procurement of ICT goods for public health facilities</t>
  </si>
  <si>
    <t>RFQ</t>
  </si>
  <si>
    <t>COVID19/G/DC-08 / Procurement of In Vitro Diagnostic Medical Device (cobas)</t>
  </si>
  <si>
    <t>3. COVID19/G/RFQ-03 / Procurement of Motorcycle for ambulance first responders with helmets</t>
  </si>
  <si>
    <t>8.  COVID19/G/RFQ-04 / Procurement of motor vehicles for Infectious Control Monitoring Center</t>
  </si>
  <si>
    <t xml:space="preserve">Cost estimate   (USD) </t>
  </si>
  <si>
    <t xml:space="preserve">TOTAL </t>
  </si>
  <si>
    <t>1.COVID19/G/DC-05  Procurement of Personal Protective Equipment</t>
  </si>
  <si>
    <t>UNCOMITTED</t>
  </si>
  <si>
    <t>Remaining funds</t>
  </si>
  <si>
    <t xml:space="preserve">ACTUALS (contracted) </t>
  </si>
  <si>
    <t>SUM</t>
  </si>
  <si>
    <t>Camera of the patient's salon</t>
  </si>
  <si>
    <t>Camera</t>
  </si>
  <si>
    <t xml:space="preserve">Computers </t>
  </si>
  <si>
    <t>Tablets for ambulances</t>
  </si>
  <si>
    <t>15 motor Motor Vehicles for Infectious Control Monitoring Center</t>
  </si>
  <si>
    <t xml:space="preserve">GOODS </t>
  </si>
  <si>
    <t xml:space="preserve">WORKS </t>
  </si>
  <si>
    <t xml:space="preserve">Outstanding amount (USD) </t>
  </si>
  <si>
    <t xml:space="preserve">Kutaisi  Emergency Coordination and Emergency Assistance Center  </t>
  </si>
  <si>
    <t>Motorcycle for ambulance first responders with helmets</t>
  </si>
  <si>
    <t xml:space="preserve">CONSULTANCY SERVICE </t>
  </si>
  <si>
    <t>Batumi</t>
  </si>
  <si>
    <t>Sachkhere Hospital</t>
  </si>
  <si>
    <t xml:space="preserve">Rukhi  Republic Hospital </t>
  </si>
  <si>
    <t>Intensive Care Mobile Unit (30 Units)</t>
  </si>
  <si>
    <t>retroactive</t>
  </si>
  <si>
    <t>social specialist</t>
  </si>
  <si>
    <t xml:space="preserve">Financial manager </t>
  </si>
  <si>
    <t xml:space="preserve">enviromental Specialist </t>
  </si>
  <si>
    <t>Health specialist</t>
  </si>
  <si>
    <t>Procurement specialist</t>
  </si>
  <si>
    <t xml:space="preserve">CONSULTANCY SERVICE Component  III </t>
  </si>
  <si>
    <t xml:space="preserve">SUM </t>
  </si>
  <si>
    <t xml:space="preserve">PIU </t>
  </si>
  <si>
    <t xml:space="preserve">Component 3. Project Management and Monitoring </t>
  </si>
  <si>
    <t xml:space="preserve">   Component 1. Emergency COVID-19 Response    and Component 3. Project Management and Monitoring </t>
  </si>
  <si>
    <t xml:space="preserve">Component 1. Emergency COVID-19 Response          </t>
  </si>
  <si>
    <t>Goggles, protective</t>
  </si>
  <si>
    <t xml:space="preserve">Direct </t>
  </si>
  <si>
    <t>Tbilisi</t>
  </si>
  <si>
    <t>O.Chkhobadze Disabled and Elderly Medical Rehabilitation Clinical Center</t>
  </si>
  <si>
    <t xml:space="preserve">9. Equipment for Primary Care Facilities </t>
  </si>
  <si>
    <t xml:space="preserve">Ammendments </t>
  </si>
  <si>
    <t>Delivery Date as defined by Incoterms</t>
  </si>
  <si>
    <t>Quantity required Quantity and physical unit</t>
  </si>
  <si>
    <t xml:space="preserve">Manufacturer’s Authorization /country of Origin </t>
  </si>
  <si>
    <t>Applicable Incoterms / Consignee</t>
  </si>
  <si>
    <t xml:space="preserve">Type of procurement </t>
  </si>
  <si>
    <t xml:space="preserve">Contract  N/ signed dated </t>
  </si>
  <si>
    <t xml:space="preserve">Unit price </t>
  </si>
  <si>
    <t xml:space="preserve">Commander Health Supply </t>
  </si>
  <si>
    <t>Commander -001/ 10.07.2020</t>
  </si>
  <si>
    <t xml:space="preserve">China </t>
  </si>
  <si>
    <t xml:space="preserve">CIP </t>
  </si>
  <si>
    <t xml:space="preserve">gloves </t>
  </si>
  <si>
    <t>GOWN Disposable</t>
  </si>
  <si>
    <t>FACE SHIELD, clear plastic, disp.</t>
  </si>
  <si>
    <t>Headband</t>
  </si>
  <si>
    <t>Boot covers with bio protection</t>
  </si>
  <si>
    <t>Estimated Quantity 
 /pland</t>
  </si>
  <si>
    <t xml:space="preserve">Mask </t>
  </si>
  <si>
    <t xml:space="preserve">Actual Total Price per Line item 
(Col. 7+8)
</t>
  </si>
  <si>
    <t>Estimated Amount
 (US$)/pland/</t>
  </si>
  <si>
    <t>Omni Gene oral  from microbial DNA and RNA</t>
  </si>
  <si>
    <t xml:space="preserve">Estimate supplier  </t>
  </si>
  <si>
    <t>RFB</t>
  </si>
  <si>
    <t xml:space="preserve">Remaining funds after contracting </t>
  </si>
  <si>
    <t xml:space="preserve">Conultant  name </t>
  </si>
  <si>
    <t xml:space="preserve">Contractors name </t>
  </si>
  <si>
    <t xml:space="preserve">Delivery Date </t>
  </si>
  <si>
    <t xml:space="preserve">Duration monthe/day  </t>
  </si>
  <si>
    <t>Translator</t>
  </si>
  <si>
    <t>Interpreter</t>
  </si>
  <si>
    <t xml:space="preserve">Amendment N2 </t>
  </si>
  <si>
    <t>within 30 days from date of issues of Preproduction Inspection Report</t>
  </si>
  <si>
    <t xml:space="preserve">  RESPIRATOR, mask, FFP2/N95, type IIR, s.u., unvalued, nose clip</t>
  </si>
  <si>
    <t>Tbilisi Infectious Disease Hospital</t>
  </si>
  <si>
    <t xml:space="preserve">Chkhobadze medical center in Kutaisi </t>
  </si>
  <si>
    <t xml:space="preserve">ICU of the university hospital </t>
  </si>
  <si>
    <t xml:space="preserve">DNA Genetic </t>
  </si>
  <si>
    <t>Radio systems</t>
  </si>
  <si>
    <t xml:space="preserve">Planned </t>
  </si>
  <si>
    <t>JV Biogene LTD and Green Lab LTD</t>
  </si>
  <si>
    <t>5, 20 USD</t>
  </si>
  <si>
    <t xml:space="preserve">100 000 </t>
  </si>
  <si>
    <t>Until  August 5, 2020</t>
  </si>
  <si>
    <t xml:space="preserve">Amendment N1 </t>
  </si>
  <si>
    <t>Standard COVID-19 AG Test</t>
  </si>
  <si>
    <t>CIP / (NCDC)</t>
  </si>
  <si>
    <t>SD BIOSENSOR</t>
  </si>
  <si>
    <t>Delivered</t>
  </si>
  <si>
    <t xml:space="preserve">Prima Medi LTD </t>
  </si>
  <si>
    <t xml:space="preserve">COVID19/G/DC-09 01/07/2020 </t>
  </si>
  <si>
    <t xml:space="preserve">250 Packs </t>
  </si>
  <si>
    <t xml:space="preserve">4 200, 00 GEL </t>
  </si>
  <si>
    <t>DDP/ (NCDC)</t>
  </si>
  <si>
    <t xml:space="preserve"> Rapid COVID-19 Test Cassette</t>
  </si>
  <si>
    <t xml:space="preserve">Procurement of Standard COVID-19 Antigen Tests </t>
  </si>
  <si>
    <t>Thermos Scientifics COVID-19 tests</t>
  </si>
  <si>
    <t>CHINA</t>
  </si>
  <si>
    <t xml:space="preserve">COVID19/G/DC-04 
</t>
  </si>
  <si>
    <t>COVID19/G/DC-01 17/05/2020</t>
  </si>
  <si>
    <t xml:space="preserve">USA </t>
  </si>
  <si>
    <t>Xpert Xpress SARS-CoV-2 kit/10 tests</t>
  </si>
  <si>
    <t>2000 packs</t>
  </si>
  <si>
    <t>COVID19/G/UN-01  
03/07/2020</t>
  </si>
  <si>
    <t xml:space="preserve">ABM LTD </t>
  </si>
  <si>
    <t>COVID19/G/DC-10
01/07/2020</t>
  </si>
  <si>
    <t>UNICEF</t>
  </si>
  <si>
    <t>1st delivery 21.07 2020 
2nd delivery 21.08.2020
3rd delivery  21.09.2020
4th delivery 21.10.2020</t>
  </si>
  <si>
    <t xml:space="preserve">Singed contract/Suppliers Name </t>
  </si>
  <si>
    <t xml:space="preserve">LUX MED LTD </t>
  </si>
  <si>
    <t>EMEA Procleix SARS-CoV-2 Assay CE IVD Reagent  Procleix Panther System</t>
  </si>
  <si>
    <t xml:space="preserve">GRIFOLS </t>
  </si>
  <si>
    <t>DDP  / (NCDC)</t>
  </si>
  <si>
    <t>GeneMATRIX Viral RNA/DNA
Purification Kit (100 detection</t>
  </si>
  <si>
    <t>Roche</t>
  </si>
  <si>
    <t xml:space="preserve"> Tests  for Cobas </t>
  </si>
  <si>
    <t xml:space="preserve">Republic of Korea </t>
  </si>
  <si>
    <t>EURX, Poland</t>
  </si>
  <si>
    <t>DNA genotek</t>
  </si>
  <si>
    <t xml:space="preserve">within 45 days </t>
  </si>
  <si>
    <t xml:space="preserve">ICU of the Infectious LG Hospital in Kutaisi </t>
  </si>
  <si>
    <t xml:space="preserve">QIAGEN/Germany </t>
  </si>
  <si>
    <t>100 kits  can supply immediately .
 400 kits in August.
500  kits in September.</t>
  </si>
  <si>
    <t xml:space="preserve">within 30 business days after receiving the advance payment </t>
  </si>
  <si>
    <t xml:space="preserve">1st delivery is delaying </t>
  </si>
  <si>
    <t>Estimated Quantity 
 /planned</t>
  </si>
  <si>
    <t>Estimated Amount
 (US$)/planned/</t>
  </si>
  <si>
    <t xml:space="preserve">Amendments </t>
  </si>
  <si>
    <t xml:space="preserve">Delivered Quantity </t>
  </si>
  <si>
    <t xml:space="preserve">MTECH  LLC </t>
  </si>
  <si>
    <t xml:space="preserve">CHINA/Mindray </t>
  </si>
  <si>
    <t>30th of  August, 2020</t>
  </si>
  <si>
    <t xml:space="preserve">Ammendment N1 </t>
  </si>
  <si>
    <t>MDS LTD</t>
  </si>
  <si>
    <t>Hamilton Medical AG Switzerlan</t>
  </si>
  <si>
    <t xml:space="preserve">Emergency situations coordination and urgent assistance center”. </t>
  </si>
  <si>
    <t>Ammendment N1 July 16, 2020</t>
  </si>
  <si>
    <t>Period-1: From 16.06.2020 to 03.07.2020;
Period-2: From 30.06.2020 to 17.07.2020;
Period-3: From 12.08.2020 - to 30.08.2020.”</t>
  </si>
  <si>
    <t xml:space="preserve">Within 1 week after   payment of 40% on shipment , but not exceeding four (4) weeks of order placement. </t>
  </si>
  <si>
    <t>COVID19/G/DC-13</t>
  </si>
  <si>
    <t>125,000 (1250 Kits)</t>
  </si>
  <si>
    <t>October</t>
  </si>
  <si>
    <t xml:space="preserve">Biosensor </t>
  </si>
  <si>
    <t xml:space="preserve">Prima medi </t>
  </si>
  <si>
    <t xml:space="preserve">MATRIX Viral RNA/DNA
Purification Kit </t>
  </si>
  <si>
    <t xml:space="preserve">extraction </t>
  </si>
  <si>
    <t xml:space="preserve">Quarantine, Preparedness,  Cost of case </t>
  </si>
  <si>
    <t>ტესტ-ნაკრები Logix Smart Coronavirus disease 2019 (COVID19) kit</t>
  </si>
  <si>
    <t xml:space="preserve">ტესტ-ნაკრები Fast Track Diagnostics </t>
  </si>
  <si>
    <t xml:space="preserve">ტესტ-ნაკრები BGI </t>
  </si>
  <si>
    <t>TaqPath™ COVID-19 CE-IVD RT-PCR Kit</t>
  </si>
  <si>
    <t>შპს ირისე</t>
  </si>
  <si>
    <t>შპს ემდიესი</t>
  </si>
  <si>
    <t>შპს ეიბიემ</t>
  </si>
  <si>
    <t xml:space="preserve"> Equipment </t>
  </si>
  <si>
    <t xml:space="preserve">AG/AB rapid tests </t>
  </si>
  <si>
    <t>1000 paks</t>
  </si>
  <si>
    <t>Nucleic Acid Diagnostic Kit   124 test</t>
  </si>
  <si>
    <t>SANSURE BIOTECH INC</t>
  </si>
  <si>
    <t xml:space="preserve">COVID19GDC-14 </t>
  </si>
  <si>
    <t xml:space="preserve">COVID19GDC-16 </t>
  </si>
  <si>
    <t>Bio Medi  LLC</t>
  </si>
  <si>
    <t xml:space="preserve">LTD Ivermedi. </t>
  </si>
  <si>
    <t>2. COVID19/G/DC-06 / Procurement of Hospital Equipment for dedicated COVID-19 clinics: Rukhi, Batumi, Tbilisi Infectious, Tbilisi University, Kutaisi Regional, and Sachkhere Regional</t>
  </si>
  <si>
    <t>COVID19/G/DC-15/ 07/09/2020</t>
  </si>
  <si>
    <t>Germany</t>
  </si>
  <si>
    <t>DDP Within one month after contract signature</t>
  </si>
  <si>
    <t xml:space="preserve">     3 200 GEL</t>
  </si>
  <si>
    <t xml:space="preserve">   1 600 000 GEL</t>
  </si>
  <si>
    <t>500 Packs, 125 000 extraction</t>
  </si>
  <si>
    <t xml:space="preserve">Second hand good (CT scanner) </t>
  </si>
  <si>
    <t>UNOPS</t>
  </si>
  <si>
    <t>August, 2020</t>
  </si>
  <si>
    <t xml:space="preserve">delivery schedules of the items/supplies will be determined in consultation with the parties </t>
  </si>
  <si>
    <t>AGREEMENT 
FOR DELIVERY OF OUTPUTS
(medical equipment and supplies)</t>
  </si>
  <si>
    <t>Furniture for Primary Healthcare Facilities</t>
  </si>
  <si>
    <t>COVID19/G/DC-22</t>
  </si>
  <si>
    <t xml:space="preserve">LLC Geo +  </t>
  </si>
  <si>
    <t xml:space="preserve">DDP </t>
  </si>
  <si>
    <t>25 days from contact signature</t>
  </si>
  <si>
    <r>
      <t>COVID19/G/DC</t>
    </r>
    <r>
      <rPr>
        <sz val="11"/>
        <rFont val="Calibri"/>
        <family val="2"/>
      </rPr>
      <t xml:space="preserve"> </t>
    </r>
    <r>
      <rPr>
        <sz val="11"/>
        <rFont val="Times New Roman"/>
        <family val="1"/>
      </rPr>
      <t xml:space="preserve">- 08 </t>
    </r>
  </si>
  <si>
    <t xml:space="preserve">Roche Diagnostics Turkey A.Ş. </t>
  </si>
  <si>
    <t>Switzerland / CH</t>
  </si>
  <si>
    <t xml:space="preserve">25 days </t>
  </si>
  <si>
    <t>Sino Venture</t>
  </si>
  <si>
    <t xml:space="preserve">dializis </t>
  </si>
  <si>
    <t>Tbilisi medic</t>
  </si>
  <si>
    <t>JV LLC KIA motors Georgia and LLC GI TI Motors</t>
  </si>
  <si>
    <t>100 DDP</t>
  </si>
  <si>
    <t xml:space="preserve">15 Unit </t>
  </si>
  <si>
    <t>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</si>
</sst>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&quot;$&quot;#,##0.00"/>
    <numFmt numFmtId="169" formatCode="_-[$£-809]* #,##0.00_-;\-[$£-809]* #,##0.00_-;_-[$£-809]* &quot;-&quot;??_-;_-@_-"/>
    <numFmt numFmtId="170" formatCode="_([$$-409]* #,##0.00_);_([$$-409]* \(#,##0.00\);_([$$-409]* &quot;-&quot;??_);_(@_)"/>
    <numFmt numFmtId="171" formatCode="_-* #,##0.00\ [$CHF-100C]_-;\-* #,##0.00\ [$CHF-100C]_-;_-* &quot;-&quot;??\ [$CHF-100C]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Times New Roman"/>
      <family val="1"/>
    </font>
    <font>
      <b/>
      <sz val="8"/>
      <color rgb="FF66727B"/>
      <name val="Verdana"/>
      <family val="2"/>
    </font>
    <font>
      <b/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4"/>
      <color rgb="FF000000"/>
      <name val="Sylfaen"/>
      <family val="1"/>
    </font>
    <font>
      <sz val="11"/>
      <name val="Calibri"/>
      <family val="2"/>
    </font>
    <font>
      <sz val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36">
    <xf numFmtId="0" fontId="0" fillId="0" borderId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</cellStyleXfs>
  <cellXfs count="296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8" fontId="24" fillId="25" borderId="13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9" fillId="0" borderId="13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168" fontId="21" fillId="26" borderId="10" xfId="0" applyNumberFormat="1" applyFont="1" applyFill="1" applyBorder="1" applyAlignment="1">
      <alignment horizontal="left" vertical="center" wrapText="1"/>
    </xf>
    <xf numFmtId="168" fontId="21" fillId="25" borderId="13" xfId="0" applyNumberFormat="1" applyFont="1" applyFill="1" applyBorder="1" applyAlignment="1">
      <alignment horizontal="center" vertical="center" wrapText="1"/>
    </xf>
    <xf numFmtId="168" fontId="21" fillId="27" borderId="13" xfId="0" applyNumberFormat="1" applyFont="1" applyFill="1" applyBorder="1" applyAlignment="1">
      <alignment horizontal="center" vertical="center"/>
    </xf>
    <xf numFmtId="168" fontId="21" fillId="26" borderId="13" xfId="0" applyNumberFormat="1" applyFont="1" applyFill="1" applyBorder="1" applyAlignment="1">
      <alignment horizontal="left" vertical="center" wrapText="1"/>
    </xf>
    <xf numFmtId="168" fontId="27" fillId="25" borderId="13" xfId="0" applyNumberFormat="1" applyFont="1" applyFill="1" applyBorder="1" applyAlignment="1">
      <alignment horizontal="center" vertical="center" wrapText="1"/>
    </xf>
    <xf numFmtId="168" fontId="21" fillId="24" borderId="13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center" vertical="center"/>
    </xf>
    <xf numFmtId="0" fontId="22" fillId="25" borderId="0" xfId="0" applyFont="1" applyFill="1" applyBorder="1"/>
    <xf numFmtId="0" fontId="22" fillId="25" borderId="0" xfId="0" applyFont="1" applyFill="1"/>
    <xf numFmtId="168" fontId="21" fillId="26" borderId="13" xfId="0" applyNumberFormat="1" applyFont="1" applyFill="1" applyBorder="1" applyAlignment="1">
      <alignment horizontal="center" vertical="center" wrapText="1"/>
    </xf>
    <xf numFmtId="0" fontId="22" fillId="0" borderId="13" xfId="0" applyFont="1" applyBorder="1"/>
    <xf numFmtId="0" fontId="21" fillId="0" borderId="13" xfId="0" applyFont="1" applyBorder="1" applyAlignment="1">
      <alignment horizontal="center" vertical="center" wrapText="1"/>
    </xf>
    <xf numFmtId="168" fontId="21" fillId="0" borderId="13" xfId="0" applyNumberFormat="1" applyFont="1" applyBorder="1" applyAlignment="1">
      <alignment horizontal="center" vertical="center"/>
    </xf>
    <xf numFmtId="0" fontId="21" fillId="27" borderId="13" xfId="0" applyFont="1" applyFill="1" applyBorder="1"/>
    <xf numFmtId="0" fontId="22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67" fontId="0" fillId="0" borderId="0" xfId="4" applyFont="1" applyAlignment="1">
      <alignment horizontal="center"/>
    </xf>
    <xf numFmtId="0" fontId="28" fillId="0" borderId="0" xfId="0" applyFont="1"/>
    <xf numFmtId="167" fontId="23" fillId="0" borderId="0" xfId="4" applyFont="1"/>
    <xf numFmtId="0" fontId="23" fillId="0" borderId="0" xfId="0" applyFont="1"/>
    <xf numFmtId="0" fontId="21" fillId="0" borderId="0" xfId="0" applyFont="1" applyAlignment="1">
      <alignment horizontal="center"/>
    </xf>
    <xf numFmtId="168" fontId="21" fillId="24" borderId="13" xfId="0" applyNumberFormat="1" applyFont="1" applyFill="1" applyBorder="1" applyAlignment="1">
      <alignment horizontal="center"/>
    </xf>
    <xf numFmtId="168" fontId="21" fillId="26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center"/>
    </xf>
    <xf numFmtId="0" fontId="22" fillId="25" borderId="0" xfId="0" applyFont="1" applyFill="1" applyAlignment="1">
      <alignment horizontal="center"/>
    </xf>
    <xf numFmtId="168" fontId="21" fillId="24" borderId="16" xfId="0" applyNumberFormat="1" applyFont="1" applyFill="1" applyBorder="1" applyAlignment="1">
      <alignment horizontal="center" vertical="center"/>
    </xf>
    <xf numFmtId="0" fontId="21" fillId="0" borderId="12" xfId="0" applyFont="1" applyBorder="1"/>
    <xf numFmtId="0" fontId="21" fillId="27" borderId="13" xfId="0" applyFont="1" applyFill="1" applyBorder="1" applyAlignment="1">
      <alignment vertical="center" wrapText="1"/>
    </xf>
    <xf numFmtId="0" fontId="21" fillId="25" borderId="13" xfId="0" applyFont="1" applyFill="1" applyBorder="1" applyAlignment="1">
      <alignment vertical="center" wrapText="1"/>
    </xf>
    <xf numFmtId="168" fontId="29" fillId="2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167" fontId="22" fillId="0" borderId="0" xfId="4" applyFont="1" applyAlignment="1"/>
    <xf numFmtId="0" fontId="22" fillId="25" borderId="0" xfId="0" applyFont="1" applyFill="1" applyAlignment="1"/>
    <xf numFmtId="167" fontId="22" fillId="0" borderId="0" xfId="0" applyNumberFormat="1" applyFont="1" applyAlignment="1"/>
    <xf numFmtId="167" fontId="23" fillId="0" borderId="0" xfId="4" applyFont="1" applyAlignment="1"/>
    <xf numFmtId="168" fontId="22" fillId="25" borderId="0" xfId="0" applyNumberFormat="1" applyFont="1" applyFill="1" applyBorder="1" applyAlignment="1">
      <alignment horizontal="center"/>
    </xf>
    <xf numFmtId="168" fontId="22" fillId="25" borderId="0" xfId="0" applyNumberFormat="1" applyFont="1" applyFill="1" applyBorder="1"/>
    <xf numFmtId="168" fontId="21" fillId="25" borderId="11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6" borderId="14" xfId="0" applyNumberFormat="1" applyFont="1" applyFill="1" applyBorder="1" applyAlignment="1">
      <alignment horizontal="left" vertical="center" wrapText="1"/>
    </xf>
    <xf numFmtId="168" fontId="21" fillId="25" borderId="15" xfId="0" applyNumberFormat="1" applyFont="1" applyFill="1" applyBorder="1" applyAlignment="1">
      <alignment horizontal="center" vertical="center" wrapText="1"/>
    </xf>
    <xf numFmtId="168" fontId="24" fillId="25" borderId="0" xfId="0" applyNumberFormat="1" applyFont="1" applyFill="1" applyBorder="1" applyAlignment="1">
      <alignment horizontal="center" vertical="center" wrapText="1"/>
    </xf>
    <xf numFmtId="4" fontId="0" fillId="29" borderId="13" xfId="0" applyNumberFormat="1" applyFill="1" applyBorder="1" applyAlignment="1">
      <alignment horizontal="center"/>
    </xf>
    <xf numFmtId="4" fontId="24" fillId="25" borderId="13" xfId="0" applyNumberFormat="1" applyFont="1" applyFill="1" applyBorder="1" applyAlignment="1">
      <alignment horizontal="center" vertical="center" wrapText="1"/>
    </xf>
    <xf numFmtId="4" fontId="24" fillId="0" borderId="13" xfId="0" applyNumberFormat="1" applyFont="1" applyFill="1" applyBorder="1" applyAlignment="1">
      <alignment horizontal="center" vertical="center" wrapText="1"/>
    </xf>
    <xf numFmtId="4" fontId="19" fillId="0" borderId="13" xfId="0" applyNumberFormat="1" applyFont="1" applyFill="1" applyBorder="1" applyAlignment="1">
      <alignment horizontal="center" vertical="center" wrapText="1"/>
    </xf>
    <xf numFmtId="0" fontId="19" fillId="28" borderId="13" xfId="0" applyFont="1" applyFill="1" applyBorder="1" applyAlignment="1">
      <alignment horizontal="center" vertical="center" wrapText="1"/>
    </xf>
    <xf numFmtId="0" fontId="24" fillId="28" borderId="13" xfId="0" applyFont="1" applyFill="1" applyBorder="1" applyAlignment="1">
      <alignment horizontal="center" vertical="center" wrapText="1"/>
    </xf>
    <xf numFmtId="4" fontId="24" fillId="28" borderId="13" xfId="0" applyNumberFormat="1" applyFont="1" applyFill="1" applyBorder="1" applyAlignment="1">
      <alignment horizontal="center" vertical="center" wrapText="1"/>
    </xf>
    <xf numFmtId="4" fontId="19" fillId="28" borderId="13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wrapText="1"/>
    </xf>
    <xf numFmtId="0" fontId="30" fillId="0" borderId="13" xfId="0" applyFont="1" applyBorder="1" applyAlignment="1">
      <alignment horizontal="center" vertical="center" wrapText="1"/>
    </xf>
    <xf numFmtId="167" fontId="30" fillId="0" borderId="13" xfId="4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167" fontId="24" fillId="25" borderId="13" xfId="4" applyFont="1" applyFill="1" applyBorder="1" applyAlignment="1">
      <alignment horizontal="center" vertical="center" wrapText="1"/>
    </xf>
    <xf numFmtId="0" fontId="25" fillId="25" borderId="0" xfId="0" applyFont="1" applyFill="1" applyBorder="1" applyAlignment="1">
      <alignment horizontal="center" vertical="center" wrapText="1"/>
    </xf>
    <xf numFmtId="4" fontId="19" fillId="25" borderId="1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" fontId="19" fillId="25" borderId="11" xfId="0" applyNumberFormat="1" applyFont="1" applyFill="1" applyBorder="1" applyAlignment="1">
      <alignment horizontal="center" vertical="center" wrapText="1"/>
    </xf>
    <xf numFmtId="4" fontId="26" fillId="25" borderId="0" xfId="0" applyNumberFormat="1" applyFont="1" applyFill="1" applyBorder="1" applyAlignment="1">
      <alignment horizontal="center" vertical="center"/>
    </xf>
    <xf numFmtId="0" fontId="0" fillId="25" borderId="0" xfId="0" applyFill="1" applyBorder="1" applyAlignment="1">
      <alignment horizontal="center"/>
    </xf>
    <xf numFmtId="167" fontId="24" fillId="28" borderId="13" xfId="4" applyFont="1" applyFill="1" applyBorder="1" applyAlignment="1">
      <alignment horizontal="center" vertical="center" wrapText="1"/>
    </xf>
    <xf numFmtId="2" fontId="24" fillId="25" borderId="11" xfId="4" applyNumberFormat="1" applyFont="1" applyFill="1" applyBorder="1" applyAlignment="1">
      <alignment horizontal="center" vertical="center" wrapText="1"/>
    </xf>
    <xf numFmtId="2" fontId="24" fillId="25" borderId="13" xfId="4" applyNumberFormat="1" applyFont="1" applyFill="1" applyBorder="1" applyAlignment="1">
      <alignment horizontal="center" vertical="center" wrapText="1"/>
    </xf>
    <xf numFmtId="0" fontId="30" fillId="25" borderId="13" xfId="0" applyFont="1" applyFill="1" applyBorder="1" applyAlignment="1">
      <alignment horizontal="center"/>
    </xf>
    <xf numFmtId="4" fontId="0" fillId="25" borderId="13" xfId="0" applyNumberFormat="1" applyFill="1" applyBorder="1" applyAlignment="1">
      <alignment horizontal="center"/>
    </xf>
    <xf numFmtId="2" fontId="24" fillId="30" borderId="0" xfId="4" applyNumberFormat="1" applyFont="1" applyFill="1" applyBorder="1" applyAlignment="1">
      <alignment horizontal="center" vertical="center" wrapText="1"/>
    </xf>
    <xf numFmtId="2" fontId="24" fillId="25" borderId="0" xfId="4" applyNumberFormat="1" applyFont="1" applyFill="1" applyBorder="1" applyAlignment="1">
      <alignment horizontal="center" vertical="center" wrapText="1"/>
    </xf>
    <xf numFmtId="4" fontId="26" fillId="29" borderId="0" xfId="0" applyNumberFormat="1" applyFont="1" applyFill="1" applyAlignment="1">
      <alignment horizontal="center"/>
    </xf>
    <xf numFmtId="4" fontId="26" fillId="30" borderId="13" xfId="0" applyNumberFormat="1" applyFont="1" applyFill="1" applyBorder="1" applyAlignment="1">
      <alignment horizontal="center"/>
    </xf>
    <xf numFmtId="2" fontId="19" fillId="0" borderId="13" xfId="4" applyNumberFormat="1" applyFont="1" applyFill="1" applyBorder="1" applyAlignment="1">
      <alignment horizontal="center" vertical="center" wrapText="1"/>
    </xf>
    <xf numFmtId="2" fontId="24" fillId="0" borderId="13" xfId="4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2" fillId="0" borderId="0" xfId="0" applyFont="1" applyAlignment="1">
      <alignment vertical="center"/>
    </xf>
    <xf numFmtId="2" fontId="21" fillId="0" borderId="13" xfId="0" applyNumberFormat="1" applyFont="1" applyBorder="1" applyAlignment="1">
      <alignment horizontal="center" vertical="center"/>
    </xf>
    <xf numFmtId="168" fontId="24" fillId="25" borderId="13" xfId="0" applyNumberFormat="1" applyFont="1" applyFill="1" applyBorder="1" applyAlignment="1">
      <alignment wrapText="1"/>
    </xf>
    <xf numFmtId="0" fontId="24" fillId="28" borderId="13" xfId="0" applyFont="1" applyFill="1" applyBorder="1" applyAlignment="1">
      <alignment wrapText="1"/>
    </xf>
    <xf numFmtId="0" fontId="19" fillId="0" borderId="13" xfId="0" applyFont="1" applyFill="1" applyBorder="1" applyAlignment="1">
      <alignment wrapText="1"/>
    </xf>
    <xf numFmtId="167" fontId="19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167" fontId="24" fillId="28" borderId="13" xfId="4" applyFont="1" applyFill="1" applyBorder="1" applyAlignment="1">
      <alignment horizontal="center" wrapText="1"/>
    </xf>
    <xf numFmtId="167" fontId="26" fillId="30" borderId="13" xfId="0" applyNumberFormat="1" applyFont="1" applyFill="1" applyBorder="1" applyAlignment="1">
      <alignment horizontal="center"/>
    </xf>
    <xf numFmtId="168" fontId="26" fillId="29" borderId="13" xfId="0" applyNumberFormat="1" applyFont="1" applyFill="1" applyBorder="1" applyAlignment="1">
      <alignment horizontal="center"/>
    </xf>
    <xf numFmtId="4" fontId="21" fillId="27" borderId="13" xfId="0" applyNumberFormat="1" applyFont="1" applyFill="1" applyBorder="1" applyAlignment="1">
      <alignment horizontal="center" vertical="center"/>
    </xf>
    <xf numFmtId="0" fontId="33" fillId="31" borderId="13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7" fontId="21" fillId="25" borderId="11" xfId="4" applyFont="1" applyFill="1" applyBorder="1" applyAlignment="1">
      <alignment horizontal="center" vertical="center" wrapText="1"/>
    </xf>
    <xf numFmtId="168" fontId="21" fillId="25" borderId="26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0" fontId="21" fillId="25" borderId="27" xfId="0" applyNumberFormat="1" applyFont="1" applyFill="1" applyBorder="1" applyAlignment="1">
      <alignment horizontal="center" vertical="center"/>
    </xf>
    <xf numFmtId="168" fontId="21" fillId="26" borderId="28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/>
    </xf>
    <xf numFmtId="167" fontId="21" fillId="26" borderId="29" xfId="4" applyFont="1" applyFill="1" applyBorder="1" applyAlignment="1">
      <alignment horizontal="center" vertical="center"/>
    </xf>
    <xf numFmtId="168" fontId="21" fillId="26" borderId="30" xfId="0" applyNumberFormat="1" applyFont="1" applyFill="1" applyBorder="1" applyAlignment="1">
      <alignment horizontal="center" vertical="center"/>
    </xf>
    <xf numFmtId="0" fontId="21" fillId="25" borderId="10" xfId="0" applyNumberFormat="1" applyFont="1" applyFill="1" applyBorder="1" applyAlignment="1">
      <alignment horizontal="center" vertical="center"/>
    </xf>
    <xf numFmtId="168" fontId="29" fillId="25" borderId="10" xfId="0" applyNumberFormat="1" applyFont="1" applyFill="1" applyBorder="1" applyAlignment="1">
      <alignment horizontal="center" vertical="center" wrapText="1"/>
    </xf>
    <xf numFmtId="167" fontId="21" fillId="25" borderId="10" xfId="4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/>
    </xf>
    <xf numFmtId="167" fontId="21" fillId="25" borderId="10" xfId="4" applyFont="1" applyFill="1" applyBorder="1" applyAlignment="1">
      <alignment horizontal="center" vertical="center"/>
    </xf>
    <xf numFmtId="167" fontId="21" fillId="25" borderId="13" xfId="4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center" vertical="center"/>
    </xf>
    <xf numFmtId="168" fontId="21" fillId="25" borderId="13" xfId="0" applyNumberFormat="1" applyFont="1" applyFill="1" applyBorder="1" applyAlignment="1">
      <alignment vertical="center" wrapText="1"/>
    </xf>
    <xf numFmtId="167" fontId="21" fillId="25" borderId="13" xfId="4" applyFont="1" applyFill="1" applyBorder="1" applyAlignment="1">
      <alignment horizontal="center" vertical="center"/>
    </xf>
    <xf numFmtId="167" fontId="21" fillId="25" borderId="0" xfId="4" applyFont="1" applyFill="1" applyBorder="1" applyAlignment="1">
      <alignment horizontal="center" vertical="center" wrapText="1"/>
    </xf>
    <xf numFmtId="168" fontId="21" fillId="30" borderId="19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vertical="center" wrapText="1"/>
    </xf>
    <xf numFmtId="168" fontId="22" fillId="25" borderId="0" xfId="0" applyNumberFormat="1" applyFont="1" applyFill="1" applyBorder="1" applyAlignment="1">
      <alignment horizontal="center" vertical="center" wrapText="1"/>
    </xf>
    <xf numFmtId="168" fontId="21" fillId="29" borderId="0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 wrapText="1"/>
    </xf>
    <xf numFmtId="168" fontId="27" fillId="25" borderId="17" xfId="0" applyNumberFormat="1" applyFont="1" applyFill="1" applyBorder="1" applyAlignment="1">
      <alignment horizontal="center" vertical="center" wrapText="1"/>
    </xf>
    <xf numFmtId="167" fontId="21" fillId="25" borderId="19" xfId="4" applyFont="1" applyFill="1" applyBorder="1" applyAlignment="1">
      <alignment horizontal="center" vertical="center" wrapText="1"/>
    </xf>
    <xf numFmtId="168" fontId="21" fillId="30" borderId="25" xfId="0" applyNumberFormat="1" applyFont="1" applyFill="1" applyBorder="1" applyAlignment="1">
      <alignment horizontal="center" vertical="center" wrapText="1"/>
    </xf>
    <xf numFmtId="167" fontId="21" fillId="26" borderId="29" xfId="4" applyFont="1" applyFill="1" applyBorder="1" applyAlignment="1">
      <alignment horizontal="center" vertical="center" wrapText="1"/>
    </xf>
    <xf numFmtId="168" fontId="21" fillId="26" borderId="33" xfId="0" applyNumberFormat="1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 wrapText="1"/>
    </xf>
    <xf numFmtId="168" fontId="21" fillId="25" borderId="10" xfId="4" applyNumberFormat="1" applyFont="1" applyFill="1" applyBorder="1" applyAlignment="1">
      <alignment horizontal="center" vertical="center" wrapText="1"/>
    </xf>
    <xf numFmtId="168" fontId="21" fillId="25" borderId="11" xfId="0" applyNumberFormat="1" applyFont="1" applyFill="1" applyBorder="1" applyAlignment="1">
      <alignment vertical="center"/>
    </xf>
    <xf numFmtId="168" fontId="21" fillId="30" borderId="11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vertical="center"/>
    </xf>
    <xf numFmtId="168" fontId="22" fillId="25" borderId="0" xfId="0" applyNumberFormat="1" applyFont="1" applyFill="1" applyBorder="1" applyAlignment="1">
      <alignment horizontal="center" vertical="center"/>
    </xf>
    <xf numFmtId="168" fontId="22" fillId="29" borderId="0" xfId="0" applyNumberFormat="1" applyFont="1" applyFill="1" applyBorder="1" applyAlignment="1">
      <alignment horizontal="center" vertical="center" wrapText="1"/>
    </xf>
    <xf numFmtId="168" fontId="21" fillId="26" borderId="30" xfId="0" applyNumberFormat="1" applyFont="1" applyFill="1" applyBorder="1" applyAlignment="1">
      <alignment horizontal="center" vertical="center" wrapText="1"/>
    </xf>
    <xf numFmtId="168" fontId="21" fillId="25" borderId="22" xfId="4" applyNumberFormat="1" applyFont="1" applyFill="1" applyBorder="1" applyAlignment="1">
      <alignment horizontal="center" vertical="center" wrapText="1"/>
    </xf>
    <xf numFmtId="168" fontId="21" fillId="30" borderId="11" xfId="0" applyNumberFormat="1" applyFont="1" applyFill="1" applyBorder="1" applyAlignment="1">
      <alignment horizontal="center" vertical="center" wrapText="1"/>
    </xf>
    <xf numFmtId="168" fontId="21" fillId="29" borderId="11" xfId="0" applyNumberFormat="1" applyFont="1" applyFill="1" applyBorder="1" applyAlignment="1">
      <alignment horizontal="center" vertical="center" wrapText="1"/>
    </xf>
    <xf numFmtId="168" fontId="22" fillId="25" borderId="10" xfId="0" applyNumberFormat="1" applyFont="1" applyFill="1" applyBorder="1" applyAlignment="1">
      <alignment horizontal="center" vertical="center" wrapText="1"/>
    </xf>
    <xf numFmtId="168" fontId="21" fillId="25" borderId="17" xfId="0" applyNumberFormat="1" applyFont="1" applyFill="1" applyBorder="1" applyAlignment="1">
      <alignment horizontal="center" vertical="center" wrapText="1"/>
    </xf>
    <xf numFmtId="167" fontId="22" fillId="25" borderId="10" xfId="4" applyFont="1" applyFill="1" applyBorder="1" applyAlignment="1">
      <alignment horizontal="center" vertical="center" wrapText="1"/>
    </xf>
    <xf numFmtId="168" fontId="34" fillId="25" borderId="10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 wrapText="1"/>
    </xf>
    <xf numFmtId="167" fontId="22" fillId="25" borderId="13" xfId="4" applyFont="1" applyFill="1" applyBorder="1" applyAlignment="1">
      <alignment horizontal="center" vertical="center" wrapText="1"/>
    </xf>
    <xf numFmtId="168" fontId="34" fillId="25" borderId="13" xfId="0" applyNumberFormat="1" applyFont="1" applyFill="1" applyBorder="1" applyAlignment="1">
      <alignment horizontal="center" vertical="center" wrapText="1"/>
    </xf>
    <xf numFmtId="168" fontId="22" fillId="28" borderId="13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/>
    </xf>
    <xf numFmtId="168" fontId="23" fillId="25" borderId="11" xfId="0" applyNumberFormat="1" applyFont="1" applyFill="1" applyBorder="1" applyAlignment="1">
      <alignment horizontal="center" vertical="center" wrapText="1"/>
    </xf>
    <xf numFmtId="168" fontId="22" fillId="25" borderId="11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/>
    </xf>
    <xf numFmtId="168" fontId="23" fillId="25" borderId="13" xfId="0" applyNumberFormat="1" applyFont="1" applyFill="1" applyBorder="1" applyAlignment="1">
      <alignment horizontal="center" vertical="center" wrapText="1"/>
    </xf>
    <xf numFmtId="168" fontId="22" fillId="25" borderId="23" xfId="0" applyNumberFormat="1" applyFont="1" applyFill="1" applyBorder="1" applyAlignment="1">
      <alignment horizontal="center" vertical="center"/>
    </xf>
    <xf numFmtId="168" fontId="21" fillId="30" borderId="25" xfId="0" applyNumberFormat="1" applyFont="1" applyFill="1" applyBorder="1" applyAlignment="1">
      <alignment horizontal="center" vertical="center"/>
    </xf>
    <xf numFmtId="168" fontId="21" fillId="29" borderId="22" xfId="0" applyNumberFormat="1" applyFont="1" applyFill="1" applyBorder="1" applyAlignment="1">
      <alignment horizontal="center" vertical="center"/>
    </xf>
    <xf numFmtId="0" fontId="22" fillId="25" borderId="10" xfId="4" applyNumberFormat="1" applyFont="1" applyFill="1" applyBorder="1" applyAlignment="1">
      <alignment horizontal="center" vertical="center" wrapText="1"/>
    </xf>
    <xf numFmtId="0" fontId="22" fillId="25" borderId="13" xfId="4" applyNumberFormat="1" applyFont="1" applyFill="1" applyBorder="1" applyAlignment="1">
      <alignment horizontal="center" vertical="center" wrapText="1"/>
    </xf>
    <xf numFmtId="168" fontId="23" fillId="25" borderId="20" xfId="0" applyNumberFormat="1" applyFont="1" applyFill="1" applyBorder="1" applyAlignment="1">
      <alignment horizontal="center" vertical="center" wrapText="1"/>
    </xf>
    <xf numFmtId="4" fontId="21" fillId="30" borderId="11" xfId="0" applyNumberFormat="1" applyFont="1" applyFill="1" applyBorder="1" applyAlignment="1">
      <alignment horizontal="center" vertical="center" wrapText="1"/>
    </xf>
    <xf numFmtId="168" fontId="21" fillId="25" borderId="27" xfId="0" applyNumberFormat="1" applyFont="1" applyFill="1" applyBorder="1" applyAlignment="1">
      <alignment horizontal="center" vertical="center" wrapText="1"/>
    </xf>
    <xf numFmtId="168" fontId="22" fillId="26" borderId="29" xfId="0" applyNumberFormat="1" applyFont="1" applyFill="1" applyBorder="1" applyAlignment="1">
      <alignment horizontal="center" vertical="center" wrapText="1"/>
    </xf>
    <xf numFmtId="167" fontId="22" fillId="26" borderId="29" xfId="4" applyFont="1" applyFill="1" applyBorder="1" applyAlignment="1">
      <alignment horizontal="center" vertical="center" wrapText="1"/>
    </xf>
    <xf numFmtId="168" fontId="22" fillId="26" borderId="30" xfId="0" applyNumberFormat="1" applyFont="1" applyFill="1" applyBorder="1" applyAlignment="1">
      <alignment horizontal="center" vertical="center" wrapText="1"/>
    </xf>
    <xf numFmtId="168" fontId="27" fillId="25" borderId="15" xfId="0" applyNumberFormat="1" applyFont="1" applyFill="1" applyBorder="1" applyAlignment="1">
      <alignment horizontal="center" vertical="center" wrapText="1"/>
    </xf>
    <xf numFmtId="168" fontId="21" fillId="30" borderId="31" xfId="0" applyNumberFormat="1" applyFont="1" applyFill="1" applyBorder="1" applyAlignment="1">
      <alignment horizontal="center" vertical="center" wrapText="1"/>
    </xf>
    <xf numFmtId="168" fontId="21" fillId="25" borderId="32" xfId="0" applyNumberFormat="1" applyFont="1" applyFill="1" applyBorder="1" applyAlignment="1">
      <alignment vertical="center" wrapText="1"/>
    </xf>
    <xf numFmtId="168" fontId="22" fillId="25" borderId="22" xfId="0" applyNumberFormat="1" applyFont="1" applyFill="1" applyBorder="1" applyAlignment="1">
      <alignment horizontal="center" vertical="center"/>
    </xf>
    <xf numFmtId="168" fontId="21" fillId="25" borderId="11" xfId="0" applyNumberFormat="1" applyFont="1" applyFill="1" applyBorder="1" applyAlignment="1">
      <alignment vertical="center" wrapText="1"/>
    </xf>
    <xf numFmtId="168" fontId="22" fillId="29" borderId="11" xfId="0" applyNumberFormat="1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left" vertical="center" wrapText="1"/>
    </xf>
    <xf numFmtId="168" fontId="21" fillId="28" borderId="13" xfId="0" applyNumberFormat="1" applyFont="1" applyFill="1" applyBorder="1" applyAlignment="1">
      <alignment horizontal="center" vertical="center" wrapText="1"/>
    </xf>
    <xf numFmtId="168" fontId="21" fillId="28" borderId="13" xfId="0" applyNumberFormat="1" applyFont="1" applyFill="1" applyBorder="1" applyAlignment="1">
      <alignment vertical="center" wrapText="1"/>
    </xf>
    <xf numFmtId="168" fontId="21" fillId="28" borderId="13" xfId="0" applyNumberFormat="1" applyFont="1" applyFill="1" applyBorder="1" applyAlignment="1">
      <alignment horizontal="left" vertical="center" wrapText="1"/>
    </xf>
    <xf numFmtId="167" fontId="21" fillId="28" borderId="13" xfId="4" applyFont="1" applyFill="1" applyBorder="1" applyAlignment="1">
      <alignment horizontal="center" vertical="center" wrapText="1"/>
    </xf>
    <xf numFmtId="167" fontId="22" fillId="25" borderId="0" xfId="4" applyFont="1" applyFill="1" applyBorder="1" applyAlignment="1">
      <alignment horizontal="center" vertical="center" wrapText="1"/>
    </xf>
    <xf numFmtId="168" fontId="21" fillId="30" borderId="10" xfId="0" applyNumberFormat="1" applyFont="1" applyFill="1" applyBorder="1" applyAlignment="1">
      <alignment horizontal="center" vertical="center"/>
    </xf>
    <xf numFmtId="168" fontId="21" fillId="29" borderId="0" xfId="0" applyNumberFormat="1" applyFont="1" applyFill="1" applyBorder="1" applyAlignment="1">
      <alignment horizontal="center" vertical="center"/>
    </xf>
    <xf numFmtId="0" fontId="29" fillId="31" borderId="13" xfId="0" applyNumberFormat="1" applyFont="1" applyFill="1" applyBorder="1" applyAlignment="1">
      <alignment horizontal="center" vertical="center" wrapText="1"/>
    </xf>
    <xf numFmtId="0" fontId="34" fillId="31" borderId="13" xfId="0" applyNumberFormat="1" applyFont="1" applyFill="1" applyBorder="1" applyAlignment="1">
      <alignment horizontal="center" vertical="center" wrapText="1"/>
    </xf>
    <xf numFmtId="0" fontId="29" fillId="31" borderId="13" xfId="0" applyNumberFormat="1" applyFont="1" applyFill="1" applyBorder="1" applyAlignment="1">
      <alignment horizontal="center" wrapText="1"/>
    </xf>
    <xf numFmtId="0" fontId="35" fillId="31" borderId="13" xfId="135" quotePrefix="1" applyNumberFormat="1" applyFont="1" applyFill="1" applyBorder="1" applyAlignment="1">
      <alignment horizontal="center" vertical="center" wrapText="1"/>
    </xf>
    <xf numFmtId="168" fontId="21" fillId="32" borderId="11" xfId="0" applyNumberFormat="1" applyFont="1" applyFill="1" applyBorder="1" applyAlignment="1">
      <alignment horizontal="center" vertical="center" wrapText="1"/>
    </xf>
    <xf numFmtId="168" fontId="21" fillId="32" borderId="29" xfId="0" applyNumberFormat="1" applyFont="1" applyFill="1" applyBorder="1" applyAlignment="1">
      <alignment horizontal="center" vertical="center"/>
    </xf>
    <xf numFmtId="168" fontId="21" fillId="32" borderId="10" xfId="0" applyNumberFormat="1" applyFont="1" applyFill="1" applyBorder="1" applyAlignment="1">
      <alignment horizontal="center" vertical="center" wrapText="1"/>
    </xf>
    <xf numFmtId="168" fontId="21" fillId="32" borderId="13" xfId="0" applyNumberFormat="1" applyFont="1" applyFill="1" applyBorder="1" applyAlignment="1">
      <alignment horizontal="center" vertical="center"/>
    </xf>
    <xf numFmtId="168" fontId="21" fillId="32" borderId="0" xfId="0" applyNumberFormat="1" applyFont="1" applyFill="1" applyBorder="1" applyAlignment="1">
      <alignment horizontal="center" vertical="center" wrapText="1"/>
    </xf>
    <xf numFmtId="168" fontId="21" fillId="32" borderId="10" xfId="0" applyNumberFormat="1" applyFont="1" applyFill="1" applyBorder="1" applyAlignment="1">
      <alignment horizontal="center" vertical="center"/>
    </xf>
    <xf numFmtId="168" fontId="21" fillId="32" borderId="29" xfId="0" applyNumberFormat="1" applyFont="1" applyFill="1" applyBorder="1" applyAlignment="1">
      <alignment horizontal="center" vertical="center" wrapText="1"/>
    </xf>
    <xf numFmtId="168" fontId="21" fillId="32" borderId="10" xfId="4" applyNumberFormat="1" applyFont="1" applyFill="1" applyBorder="1" applyAlignment="1">
      <alignment horizontal="center" vertical="center" wrapText="1"/>
    </xf>
    <xf numFmtId="168" fontId="21" fillId="32" borderId="0" xfId="0" applyNumberFormat="1" applyFont="1" applyFill="1" applyBorder="1" applyAlignment="1">
      <alignment horizontal="center" vertical="center"/>
    </xf>
    <xf numFmtId="168" fontId="21" fillId="32" borderId="22" xfId="4" applyNumberFormat="1" applyFont="1" applyFill="1" applyBorder="1" applyAlignment="1">
      <alignment horizontal="center" vertical="center" wrapText="1"/>
    </xf>
    <xf numFmtId="168" fontId="29" fillId="32" borderId="13" xfId="0" applyNumberFormat="1" applyFont="1" applyFill="1" applyBorder="1" applyAlignment="1">
      <alignment horizontal="center" vertical="center" wrapText="1"/>
    </xf>
    <xf numFmtId="168" fontId="22" fillId="32" borderId="13" xfId="0" applyNumberFormat="1" applyFont="1" applyFill="1" applyBorder="1" applyAlignment="1">
      <alignment horizontal="center" vertical="center" wrapText="1"/>
    </xf>
    <xf numFmtId="0" fontId="29" fillId="33" borderId="13" xfId="0" applyNumberFormat="1" applyFont="1" applyFill="1" applyBorder="1" applyAlignment="1">
      <alignment horizontal="center" vertical="center" wrapText="1"/>
    </xf>
    <xf numFmtId="168" fontId="23" fillId="32" borderId="13" xfId="0" applyNumberFormat="1" applyFont="1" applyFill="1" applyBorder="1" applyAlignment="1">
      <alignment horizontal="center" vertical="center" wrapText="1"/>
    </xf>
    <xf numFmtId="168" fontId="21" fillId="32" borderId="35" xfId="0" applyNumberFormat="1" applyFont="1" applyFill="1" applyBorder="1" applyAlignment="1">
      <alignment horizontal="center" vertical="center" wrapText="1"/>
    </xf>
    <xf numFmtId="168" fontId="21" fillId="32" borderId="32" xfId="0" applyNumberFormat="1" applyFont="1" applyFill="1" applyBorder="1" applyAlignment="1">
      <alignment horizontal="center" vertical="center" wrapText="1"/>
    </xf>
    <xf numFmtId="168" fontId="22" fillId="32" borderId="13" xfId="0" applyNumberFormat="1" applyFont="1" applyFill="1" applyBorder="1" applyAlignment="1">
      <alignment horizontal="center" vertical="center"/>
    </xf>
    <xf numFmtId="168" fontId="21" fillId="32" borderId="13" xfId="0" applyNumberFormat="1" applyFont="1" applyFill="1" applyBorder="1" applyAlignment="1">
      <alignment horizontal="center" vertical="center" wrapText="1"/>
    </xf>
    <xf numFmtId="168" fontId="22" fillId="32" borderId="0" xfId="0" applyNumberFormat="1" applyFont="1" applyFill="1" applyBorder="1" applyAlignment="1">
      <alignment horizontal="center" vertical="center"/>
    </xf>
    <xf numFmtId="14" fontId="29" fillId="31" borderId="13" xfId="0" applyNumberFormat="1" applyFont="1" applyFill="1" applyBorder="1" applyAlignment="1">
      <alignment horizontal="center" vertical="center" wrapText="1"/>
    </xf>
    <xf numFmtId="15" fontId="33" fillId="31" borderId="13" xfId="0" applyNumberFormat="1" applyFont="1" applyFill="1" applyBorder="1" applyAlignment="1">
      <alignment horizontal="center" vertical="center" wrapText="1"/>
    </xf>
    <xf numFmtId="168" fontId="23" fillId="25" borderId="26" xfId="0" applyNumberFormat="1" applyFont="1" applyFill="1" applyBorder="1" applyAlignment="1">
      <alignment horizontal="center" vertical="center" wrapText="1"/>
    </xf>
    <xf numFmtId="0" fontId="27" fillId="31" borderId="13" xfId="0" applyNumberFormat="1" applyFont="1" applyFill="1" applyBorder="1" applyAlignment="1">
      <alignment horizontal="center" vertical="center" wrapText="1"/>
    </xf>
    <xf numFmtId="167" fontId="23" fillId="25" borderId="13" xfId="4" applyFont="1" applyFill="1" applyBorder="1" applyAlignment="1">
      <alignment horizontal="center" vertical="center" wrapText="1"/>
    </xf>
    <xf numFmtId="167" fontId="23" fillId="25" borderId="11" xfId="4" applyFont="1" applyFill="1" applyBorder="1" applyAlignment="1">
      <alignment horizontal="center" vertical="center" wrapText="1"/>
    </xf>
    <xf numFmtId="167" fontId="21" fillId="26" borderId="13" xfId="4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2" fillId="25" borderId="10" xfId="0" quotePrefix="1" applyNumberFormat="1" applyFont="1" applyFill="1" applyBorder="1" applyAlignment="1">
      <alignment horizontal="center" vertical="center" wrapText="1"/>
    </xf>
    <xf numFmtId="168" fontId="22" fillId="25" borderId="13" xfId="0" quotePrefix="1" applyNumberFormat="1" applyFont="1" applyFill="1" applyBorder="1" applyAlignment="1">
      <alignment horizontal="center" vertical="center" wrapText="1"/>
    </xf>
    <xf numFmtId="167" fontId="34" fillId="25" borderId="13" xfId="4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 wrapText="1"/>
    </xf>
    <xf numFmtId="167" fontId="27" fillId="25" borderId="13" xfId="4" applyFont="1" applyFill="1" applyBorder="1" applyAlignment="1">
      <alignment horizontal="center" vertical="center" wrapText="1"/>
    </xf>
    <xf numFmtId="168" fontId="27" fillId="25" borderId="13" xfId="0" applyNumberFormat="1" applyFont="1" applyFill="1" applyBorder="1" applyAlignment="1">
      <alignment horizontal="center" vertical="center"/>
    </xf>
    <xf numFmtId="169" fontId="34" fillId="25" borderId="13" xfId="0" applyNumberFormat="1" applyFont="1" applyFill="1" applyBorder="1" applyAlignment="1">
      <alignment horizontal="center" vertical="center" wrapText="1"/>
    </xf>
    <xf numFmtId="0" fontId="21" fillId="25" borderId="37" xfId="0" applyNumberFormat="1" applyFont="1" applyFill="1" applyBorder="1" applyAlignment="1">
      <alignment horizontal="center" vertical="center"/>
    </xf>
    <xf numFmtId="168" fontId="21" fillId="26" borderId="38" xfId="0" applyNumberFormat="1" applyFont="1" applyFill="1" applyBorder="1" applyAlignment="1">
      <alignment horizontal="center" vertical="center" wrapText="1"/>
    </xf>
    <xf numFmtId="168" fontId="21" fillId="26" borderId="36" xfId="0" applyNumberFormat="1" applyFont="1" applyFill="1" applyBorder="1" applyAlignment="1">
      <alignment horizontal="center" vertical="center"/>
    </xf>
    <xf numFmtId="168" fontId="21" fillId="26" borderId="36" xfId="0" applyNumberFormat="1" applyFont="1" applyFill="1" applyBorder="1" applyAlignment="1">
      <alignment horizontal="center" vertical="center" wrapText="1"/>
    </xf>
    <xf numFmtId="168" fontId="21" fillId="32" borderId="36" xfId="0" applyNumberFormat="1" applyFont="1" applyFill="1" applyBorder="1" applyAlignment="1">
      <alignment horizontal="center" vertical="center"/>
    </xf>
    <xf numFmtId="168" fontId="21" fillId="26" borderId="39" xfId="0" applyNumberFormat="1" applyFont="1" applyFill="1" applyBorder="1" applyAlignment="1">
      <alignment horizontal="center" vertical="center"/>
    </xf>
    <xf numFmtId="0" fontId="21" fillId="25" borderId="13" xfId="0" applyNumberFormat="1" applyFont="1" applyFill="1" applyBorder="1" applyAlignment="1">
      <alignment horizontal="center" vertical="center"/>
    </xf>
    <xf numFmtId="168" fontId="27" fillId="27" borderId="13" xfId="0" applyNumberFormat="1" applyFont="1" applyFill="1" applyBorder="1" applyAlignment="1">
      <alignment horizontal="center" vertical="center" wrapText="1"/>
    </xf>
    <xf numFmtId="168" fontId="27" fillId="27" borderId="13" xfId="0" applyNumberFormat="1" applyFont="1" applyFill="1" applyBorder="1" applyAlignment="1">
      <alignment horizontal="center" vertical="center"/>
    </xf>
    <xf numFmtId="0" fontId="27" fillId="27" borderId="13" xfId="0" applyNumberFormat="1" applyFont="1" applyFill="1" applyBorder="1" applyAlignment="1">
      <alignment horizontal="center" vertical="center"/>
    </xf>
    <xf numFmtId="168" fontId="27" fillId="27" borderId="17" xfId="0" applyNumberFormat="1" applyFont="1" applyFill="1" applyBorder="1" applyAlignment="1">
      <alignment horizontal="center" vertical="center" wrapText="1"/>
    </xf>
    <xf numFmtId="168" fontId="23" fillId="27" borderId="13" xfId="0" applyNumberFormat="1" applyFont="1" applyFill="1" applyBorder="1" applyAlignment="1">
      <alignment horizontal="center" vertical="center" wrapText="1"/>
    </xf>
    <xf numFmtId="167" fontId="23" fillId="27" borderId="13" xfId="4" applyFont="1" applyFill="1" applyBorder="1" applyAlignment="1">
      <alignment horizontal="center" vertical="center" wrapText="1"/>
    </xf>
    <xf numFmtId="168" fontId="22" fillId="27" borderId="10" xfId="0" applyNumberFormat="1" applyFont="1" applyFill="1" applyBorder="1" applyAlignment="1">
      <alignment horizontal="center" vertical="center" wrapText="1"/>
    </xf>
    <xf numFmtId="168" fontId="21" fillId="27" borderId="15" xfId="0" applyNumberFormat="1" applyFont="1" applyFill="1" applyBorder="1" applyAlignment="1">
      <alignment horizontal="center" vertical="center" wrapText="1"/>
    </xf>
    <xf numFmtId="168" fontId="22" fillId="27" borderId="13" xfId="0" applyNumberFormat="1" applyFont="1" applyFill="1" applyBorder="1" applyAlignment="1">
      <alignment horizontal="center" vertical="center" wrapText="1"/>
    </xf>
    <xf numFmtId="167" fontId="22" fillId="27" borderId="13" xfId="4" applyFont="1" applyFill="1" applyBorder="1" applyAlignment="1">
      <alignment horizontal="center" vertical="center" wrapText="1"/>
    </xf>
    <xf numFmtId="168" fontId="22" fillId="29" borderId="10" xfId="0" applyNumberFormat="1" applyFont="1" applyFill="1" applyBorder="1" applyAlignment="1">
      <alignment horizontal="center" vertical="center" wrapText="1"/>
    </xf>
    <xf numFmtId="0" fontId="21" fillId="25" borderId="40" xfId="0" applyNumberFormat="1" applyFont="1" applyFill="1" applyBorder="1" applyAlignment="1">
      <alignment horizontal="center" vertical="center"/>
    </xf>
    <xf numFmtId="168" fontId="27" fillId="25" borderId="40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7" fillId="25" borderId="40" xfId="0" applyNumberFormat="1" applyFont="1" applyFill="1" applyBorder="1" applyAlignment="1">
      <alignment horizontal="center" vertical="center"/>
    </xf>
    <xf numFmtId="167" fontId="27" fillId="25" borderId="40" xfId="4" applyFont="1" applyFill="1" applyBorder="1" applyAlignment="1">
      <alignment horizontal="center" vertical="center" wrapText="1"/>
    </xf>
    <xf numFmtId="168" fontId="27" fillId="32" borderId="40" xfId="0" applyNumberFormat="1" applyFont="1" applyFill="1" applyBorder="1" applyAlignment="1">
      <alignment horizontal="center" vertical="center"/>
    </xf>
    <xf numFmtId="168" fontId="23" fillId="25" borderId="40" xfId="0" applyNumberFormat="1" applyFont="1" applyFill="1" applyBorder="1" applyAlignment="1">
      <alignment horizontal="center" vertical="center"/>
    </xf>
    <xf numFmtId="168" fontId="23" fillId="25" borderId="40" xfId="0" applyNumberFormat="1" applyFont="1" applyFill="1" applyBorder="1" applyAlignment="1">
      <alignment horizontal="center" vertical="center" wrapText="1"/>
    </xf>
    <xf numFmtId="168" fontId="23" fillId="25" borderId="10" xfId="0" applyNumberFormat="1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 vertical="center"/>
    </xf>
    <xf numFmtId="168" fontId="34" fillId="25" borderId="15" xfId="0" applyNumberFormat="1" applyFont="1" applyFill="1" applyBorder="1" applyAlignment="1">
      <alignment horizontal="center" vertical="center" wrapText="1"/>
    </xf>
    <xf numFmtId="0" fontId="38" fillId="25" borderId="0" xfId="0" applyFont="1" applyFill="1" applyAlignment="1">
      <alignment horizontal="center" vertical="center"/>
    </xf>
    <xf numFmtId="168" fontId="21" fillId="25" borderId="40" xfId="0" applyNumberFormat="1" applyFont="1" applyFill="1" applyBorder="1" applyAlignment="1">
      <alignment horizontal="center" vertical="center" wrapText="1"/>
    </xf>
    <xf numFmtId="168" fontId="21" fillId="25" borderId="40" xfId="0" applyNumberFormat="1" applyFont="1" applyFill="1" applyBorder="1" applyAlignment="1">
      <alignment horizontal="center" vertical="center"/>
    </xf>
    <xf numFmtId="168" fontId="22" fillId="25" borderId="40" xfId="0" applyNumberFormat="1" applyFont="1" applyFill="1" applyBorder="1" applyAlignment="1">
      <alignment horizontal="center" vertical="center" wrapText="1"/>
    </xf>
    <xf numFmtId="0" fontId="36" fillId="25" borderId="40" xfId="0" applyFont="1" applyFill="1" applyBorder="1" applyAlignment="1">
      <alignment horizontal="center" vertical="center"/>
    </xf>
    <xf numFmtId="168" fontId="21" fillId="27" borderId="40" xfId="0" applyNumberFormat="1" applyFont="1" applyFill="1" applyBorder="1" applyAlignment="1">
      <alignment horizontal="center" vertical="center" wrapText="1"/>
    </xf>
    <xf numFmtId="168" fontId="21" fillId="27" borderId="40" xfId="0" applyNumberFormat="1" applyFont="1" applyFill="1" applyBorder="1" applyAlignment="1">
      <alignment wrapText="1"/>
    </xf>
    <xf numFmtId="167" fontId="21" fillId="25" borderId="10" xfId="4" applyFont="1" applyFill="1" applyBorder="1" applyAlignment="1"/>
    <xf numFmtId="167" fontId="22" fillId="25" borderId="10" xfId="4" applyFont="1" applyFill="1" applyBorder="1" applyAlignment="1">
      <alignment wrapText="1"/>
    </xf>
    <xf numFmtId="167" fontId="22" fillId="25" borderId="13" xfId="4" applyFont="1" applyFill="1" applyBorder="1" applyAlignment="1">
      <alignment wrapText="1"/>
    </xf>
    <xf numFmtId="168" fontId="22" fillId="25" borderId="13" xfId="0" applyNumberFormat="1" applyFont="1" applyFill="1" applyBorder="1" applyAlignment="1">
      <alignment wrapText="1"/>
    </xf>
    <xf numFmtId="167" fontId="34" fillId="25" borderId="13" xfId="4" applyFont="1" applyFill="1" applyBorder="1" applyAlignment="1">
      <alignment wrapText="1"/>
    </xf>
    <xf numFmtId="168" fontId="34" fillId="25" borderId="13" xfId="0" applyNumberFormat="1" applyFont="1" applyFill="1" applyBorder="1" applyAlignment="1">
      <alignment wrapText="1"/>
    </xf>
    <xf numFmtId="168" fontId="22" fillId="25" borderId="40" xfId="0" applyNumberFormat="1" applyFont="1" applyFill="1" applyBorder="1" applyAlignment="1">
      <alignment wrapText="1"/>
    </xf>
    <xf numFmtId="168" fontId="22" fillId="25" borderId="0" xfId="0" applyNumberFormat="1" applyFont="1" applyFill="1" applyBorder="1" applyAlignment="1"/>
    <xf numFmtId="0" fontId="21" fillId="25" borderId="26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1" fillId="32" borderId="40" xfId="0" applyNumberFormat="1" applyFont="1" applyFill="1" applyBorder="1" applyAlignment="1">
      <alignment horizontal="center" vertical="center"/>
    </xf>
    <xf numFmtId="167" fontId="27" fillId="25" borderId="40" xfId="4" applyFont="1" applyFill="1" applyBorder="1" applyAlignment="1">
      <alignment vertical="center" wrapText="1"/>
    </xf>
    <xf numFmtId="170" fontId="23" fillId="27" borderId="13" xfId="2" applyNumberFormat="1" applyFont="1" applyFill="1" applyBorder="1" applyAlignment="1">
      <alignment horizontal="center" vertical="center" wrapText="1"/>
    </xf>
    <xf numFmtId="168" fontId="23" fillId="25" borderId="10" xfId="0" applyNumberFormat="1" applyFont="1" applyFill="1" applyBorder="1" applyAlignment="1">
      <alignment horizontal="center" vertical="center"/>
    </xf>
    <xf numFmtId="167" fontId="23" fillId="25" borderId="10" xfId="4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/>
    </xf>
    <xf numFmtId="168" fontId="29" fillId="27" borderId="17" xfId="0" applyNumberFormat="1" applyFont="1" applyFill="1" applyBorder="1" applyAlignment="1">
      <alignment horizontal="center" vertical="center" wrapText="1"/>
    </xf>
    <xf numFmtId="171" fontId="22" fillId="25" borderId="13" xfId="0" applyNumberFormat="1" applyFont="1" applyFill="1" applyBorder="1" applyAlignment="1">
      <alignment horizontal="center" vertical="center"/>
    </xf>
    <xf numFmtId="171" fontId="21" fillId="25" borderId="13" xfId="0" applyNumberFormat="1" applyFont="1" applyFill="1" applyBorder="1" applyAlignment="1">
      <alignment horizontal="center" vertical="center"/>
    </xf>
    <xf numFmtId="0" fontId="21" fillId="27" borderId="13" xfId="0" applyFont="1" applyFill="1" applyBorder="1" applyAlignment="1">
      <alignment horizontal="left"/>
    </xf>
    <xf numFmtId="0" fontId="31" fillId="25" borderId="34" xfId="0" applyFont="1" applyFill="1" applyBorder="1" applyAlignment="1">
      <alignment horizontal="center" vertical="center"/>
    </xf>
    <xf numFmtId="0" fontId="31" fillId="25" borderId="15" xfId="0" applyFont="1" applyFill="1" applyBorder="1" applyAlignment="1">
      <alignment horizontal="center" vertical="center"/>
    </xf>
    <xf numFmtId="168" fontId="21" fillId="25" borderId="18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19" xfId="0" applyNumberFormat="1" applyFont="1" applyFill="1" applyBorder="1" applyAlignment="1">
      <alignment horizontal="left" vertical="center" wrapText="1"/>
    </xf>
    <xf numFmtId="168" fontId="21" fillId="25" borderId="11" xfId="0" applyNumberFormat="1" applyFont="1" applyFill="1" applyBorder="1" applyAlignment="1">
      <alignment horizontal="left" vertical="center" wrapText="1"/>
    </xf>
    <xf numFmtId="168" fontId="21" fillId="25" borderId="22" xfId="0" applyNumberFormat="1" applyFont="1" applyFill="1" applyBorder="1" applyAlignment="1">
      <alignment horizontal="left" vertical="center" wrapText="1"/>
    </xf>
    <xf numFmtId="168" fontId="21" fillId="25" borderId="23" xfId="0" applyNumberFormat="1" applyFont="1" applyFill="1" applyBorder="1" applyAlignment="1">
      <alignment horizontal="center" vertical="center" wrapText="1"/>
    </xf>
    <xf numFmtId="168" fontId="21" fillId="25" borderId="24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8" fontId="21" fillId="25" borderId="36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5" borderId="24" xfId="0" applyNumberFormat="1" applyFont="1" applyFill="1" applyBorder="1" applyAlignment="1">
      <alignment horizontal="center" vertical="center"/>
    </xf>
    <xf numFmtId="168" fontId="21" fillId="25" borderId="20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21" xfId="0" applyNumberFormat="1" applyFont="1" applyFill="1" applyBorder="1" applyAlignment="1">
      <alignment horizontal="center" vertical="center" wrapText="1"/>
    </xf>
    <xf numFmtId="168" fontId="29" fillId="32" borderId="36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0" fontId="21" fillId="25" borderId="26" xfId="0" applyNumberFormat="1" applyFont="1" applyFill="1" applyBorder="1" applyAlignment="1">
      <alignment horizontal="center" vertical="center" wrapText="1"/>
    </xf>
    <xf numFmtId="0" fontId="21" fillId="25" borderId="10" xfId="0" applyNumberFormat="1" applyFont="1" applyFill="1" applyBorder="1" applyAlignment="1">
      <alignment horizontal="center" vertical="center" wrapText="1"/>
    </xf>
    <xf numFmtId="168" fontId="29" fillId="25" borderId="36" xfId="0" applyNumberFormat="1" applyFont="1" applyFill="1" applyBorder="1" applyAlignment="1">
      <alignment horizontal="center" vertical="center" wrapText="1"/>
    </xf>
    <xf numFmtId="168" fontId="29" fillId="25" borderId="10" xfId="0" applyNumberFormat="1" applyFont="1" applyFill="1" applyBorder="1" applyAlignment="1">
      <alignment horizontal="center" vertical="center" wrapText="1"/>
    </xf>
  </cellXfs>
  <cellStyles count="136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3" xfId="82"/>
    <cellStyle name="Calculation 4" xfId="83"/>
    <cellStyle name="Check Cell 2" xfId="84"/>
    <cellStyle name="Check Cell 3" xfId="85"/>
    <cellStyle name="Check Cell 4" xfId="86"/>
    <cellStyle name="Comma" xfId="4"/>
    <cellStyle name="Comma [0]" xfId="5"/>
    <cellStyle name="Currency" xfId="2"/>
    <cellStyle name="Currency [0]" xfId="3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Hyperlink" xfId="135" builtinId="8"/>
    <cellStyle name="Input 2" xfId="105"/>
    <cellStyle name="Input 3" xfId="106"/>
    <cellStyle name="Input 4" xfId="107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3" xfId="117"/>
    <cellStyle name="Normal 4" xfId="118"/>
    <cellStyle name="Note 2" xfId="119"/>
    <cellStyle name="Note 3" xfId="120"/>
    <cellStyle name="Note 4" xfId="121"/>
    <cellStyle name="Output 2" xfId="122"/>
    <cellStyle name="Output 3" xfId="123"/>
    <cellStyle name="Output 4" xfId="124"/>
    <cellStyle name="Percent" xfId="1"/>
    <cellStyle name="Title 2" xfId="125"/>
    <cellStyle name="Title 3" xfId="126"/>
    <cellStyle name="Title 4" xfId="127"/>
    <cellStyle name="Total 2" xfId="128"/>
    <cellStyle name="Total 3" xfId="129"/>
    <cellStyle name="Total 4" xfId="130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tabSelected="1" view="pageBreakPreview" topLeftCell="A25" zoomScale="85" zoomScaleNormal="100" zoomScaleSheetLayoutView="85" workbookViewId="0">
      <selection activeCell="G8" sqref="G8"/>
    </sheetView>
  </sheetViews>
  <sheetFormatPr defaultColWidth="9.109375" defaultRowHeight="13.8" x14ac:dyDescent="0.25"/>
  <cols>
    <col min="1" max="1" width="5.5546875" style="9" customWidth="1"/>
    <col min="2" max="2" width="7.5546875" style="9" customWidth="1"/>
    <col min="3" max="3" width="68.44140625" style="9" customWidth="1"/>
    <col min="4" max="4" width="31" style="9" customWidth="1"/>
    <col min="5" max="5" width="29.33203125" style="10" customWidth="1"/>
    <col min="6" max="6" width="33.33203125" style="9" customWidth="1"/>
    <col min="7" max="7" width="26" style="9" customWidth="1"/>
    <col min="8" max="8" width="33.88671875" style="9" customWidth="1"/>
    <col min="9" max="9" width="21.44140625" style="45" customWidth="1"/>
    <col min="10" max="10" width="9.109375" style="9" customWidth="1"/>
    <col min="11" max="16384" width="9.109375" style="9"/>
  </cols>
  <sheetData>
    <row r="1" spans="3:9" ht="24" customHeight="1" x14ac:dyDescent="0.25"/>
    <row r="2" spans="3:9" ht="43.5" customHeight="1" x14ac:dyDescent="0.25">
      <c r="D2" s="29" t="s">
        <v>32</v>
      </c>
      <c r="E2" s="28" t="s">
        <v>46</v>
      </c>
      <c r="G2" s="32">
        <v>6000000</v>
      </c>
      <c r="H2" s="33" t="s">
        <v>54</v>
      </c>
    </row>
    <row r="3" spans="3:9" s="88" customFormat="1" ht="53.25" customHeight="1" x14ac:dyDescent="0.25">
      <c r="C3" s="42" t="s">
        <v>64</v>
      </c>
      <c r="D3" s="15">
        <v>41500000</v>
      </c>
      <c r="E3" s="15">
        <f>F36</f>
        <v>34861578</v>
      </c>
    </row>
    <row r="4" spans="3:9" ht="33.6" customHeight="1" x14ac:dyDescent="0.25">
      <c r="C4" s="43"/>
      <c r="D4" s="38"/>
      <c r="E4" s="38"/>
      <c r="F4" s="22"/>
      <c r="G4" s="22"/>
      <c r="H4" s="22"/>
    </row>
    <row r="5" spans="3:9" ht="39" customHeight="1" x14ac:dyDescent="0.25">
      <c r="C5" s="27" t="s">
        <v>65</v>
      </c>
      <c r="F5" s="22"/>
      <c r="G5" s="22"/>
      <c r="H5" s="22"/>
    </row>
    <row r="6" spans="3:9" ht="53.1" customHeight="1" x14ac:dyDescent="0.25">
      <c r="C6" s="11" t="s">
        <v>44</v>
      </c>
      <c r="D6" s="11" t="s">
        <v>32</v>
      </c>
      <c r="E6" s="11" t="s">
        <v>37</v>
      </c>
      <c r="F6" s="25" t="s">
        <v>95</v>
      </c>
      <c r="G6" s="12" t="s">
        <v>35</v>
      </c>
      <c r="H6" s="11" t="s">
        <v>110</v>
      </c>
    </row>
    <row r="7" spans="3:9" ht="48.75" customHeight="1" x14ac:dyDescent="0.25">
      <c r="C7" s="13" t="s">
        <v>22</v>
      </c>
      <c r="D7" s="17">
        <v>5000000</v>
      </c>
      <c r="E7" s="14">
        <f>' GOODS I'!P11</f>
        <v>179820</v>
      </c>
      <c r="F7" s="14">
        <f>D7-E7</f>
        <v>4820180</v>
      </c>
      <c r="G7" s="225">
        <f>D7-E7-H7</f>
        <v>-1186920</v>
      </c>
      <c r="H7" s="14">
        <f>' GOODS I'!F11</f>
        <v>6007100</v>
      </c>
      <c r="I7" s="46"/>
    </row>
    <row r="8" spans="3:9" ht="67.5" customHeight="1" x14ac:dyDescent="0.25">
      <c r="C8" s="16" t="s">
        <v>194</v>
      </c>
      <c r="D8" s="44">
        <f>6500000+500000</f>
        <v>7000000</v>
      </c>
      <c r="E8" s="14">
        <f>' GOODS I'!P24</f>
        <v>403437.6</v>
      </c>
      <c r="F8" s="14">
        <f t="shared" ref="F8:F14" si="0">D8-E8</f>
        <v>6596562.4000000004</v>
      </c>
      <c r="G8" s="225">
        <f t="shared" ref="G8:G14" si="1">D8-E8-H8</f>
        <v>-269416.36798128765</v>
      </c>
      <c r="H8" s="14">
        <f>' GOODS I'!F24</f>
        <v>6865978.767981288</v>
      </c>
      <c r="I8" s="46">
        <v>0</v>
      </c>
    </row>
    <row r="9" spans="3:9" ht="41.25" customHeight="1" x14ac:dyDescent="0.25">
      <c r="C9" s="16" t="s">
        <v>30</v>
      </c>
      <c r="D9" s="14">
        <v>1000000</v>
      </c>
      <c r="E9" s="14">
        <f>' GOODS I'!P27</f>
        <v>0</v>
      </c>
      <c r="F9" s="14">
        <f t="shared" si="0"/>
        <v>1000000</v>
      </c>
      <c r="G9" s="15">
        <f t="shared" si="1"/>
        <v>0</v>
      </c>
      <c r="H9" s="14">
        <f>' GOODS I'!F27</f>
        <v>1000000</v>
      </c>
      <c r="I9" s="46"/>
    </row>
    <row r="10" spans="3:9" ht="66.75" customHeight="1" x14ac:dyDescent="0.25">
      <c r="C10" s="16" t="s">
        <v>24</v>
      </c>
      <c r="D10" s="14">
        <v>2250000</v>
      </c>
      <c r="E10" s="14">
        <f>' GOODS I'!P30</f>
        <v>0</v>
      </c>
      <c r="F10" s="14">
        <f t="shared" si="0"/>
        <v>2250000</v>
      </c>
      <c r="G10" s="15">
        <f t="shared" si="1"/>
        <v>300000</v>
      </c>
      <c r="H10" s="14">
        <f>' GOODS I'!F30</f>
        <v>1950000</v>
      </c>
      <c r="I10" s="46"/>
    </row>
    <row r="11" spans="3:9" ht="57" customHeight="1" x14ac:dyDescent="0.25">
      <c r="C11" s="16" t="s">
        <v>25</v>
      </c>
      <c r="D11" s="17">
        <f>25750000-500000</f>
        <v>25250000</v>
      </c>
      <c r="E11" s="14">
        <f>' GOODS I'!P53</f>
        <v>14107378.4</v>
      </c>
      <c r="F11" s="14">
        <f>D11-E11</f>
        <v>11142621.6</v>
      </c>
      <c r="G11" s="15">
        <f>D11-E11-H11</f>
        <v>4176121.5999999996</v>
      </c>
      <c r="H11" s="14">
        <f>' GOODS I'!F53</f>
        <v>6966500</v>
      </c>
      <c r="I11" s="49"/>
    </row>
    <row r="12" spans="3:9" ht="63" customHeight="1" x14ac:dyDescent="0.25">
      <c r="C12" s="16" t="s">
        <v>26</v>
      </c>
      <c r="D12" s="52">
        <f>2800000+2500000</f>
        <v>5300000</v>
      </c>
      <c r="E12" s="14">
        <f>' GOODS I'!P57</f>
        <v>313476</v>
      </c>
      <c r="F12" s="14">
        <f>D12-E12</f>
        <v>4986524</v>
      </c>
      <c r="G12" s="15">
        <f>D12-E12-H12</f>
        <v>1986524</v>
      </c>
      <c r="H12" s="14">
        <f>' GOODS I'!F57</f>
        <v>3000000</v>
      </c>
    </row>
    <row r="13" spans="3:9" ht="66.75" customHeight="1" x14ac:dyDescent="0.25">
      <c r="C13" s="54" t="s">
        <v>27</v>
      </c>
      <c r="D13" s="14">
        <v>50000</v>
      </c>
      <c r="E13" s="55">
        <f>' GOODS I'!P67</f>
        <v>379240</v>
      </c>
      <c r="F13" s="14">
        <f t="shared" si="0"/>
        <v>-329240</v>
      </c>
      <c r="G13" s="15">
        <f t="shared" si="1"/>
        <v>-329240</v>
      </c>
      <c r="H13" s="14">
        <f>' GOODS I'!F63</f>
        <v>0</v>
      </c>
    </row>
    <row r="14" spans="3:9" ht="70.5" customHeight="1" x14ac:dyDescent="0.25">
      <c r="C14" s="54" t="s">
        <v>31</v>
      </c>
      <c r="D14" s="14">
        <v>350000</v>
      </c>
      <c r="E14" s="55">
        <f>F1</f>
        <v>0</v>
      </c>
      <c r="F14" s="14">
        <f t="shared" si="0"/>
        <v>350000</v>
      </c>
      <c r="G14" s="15">
        <f t="shared" si="1"/>
        <v>350000</v>
      </c>
      <c r="H14" s="14">
        <f>' GOODS I'!F67</f>
        <v>0</v>
      </c>
    </row>
    <row r="15" spans="3:9" ht="69.75" customHeight="1" x14ac:dyDescent="0.25">
      <c r="C15" s="16" t="s">
        <v>70</v>
      </c>
      <c r="D15" s="53">
        <v>3000000</v>
      </c>
      <c r="E15" s="14">
        <f>' GOODS I'!P72</f>
        <v>388020</v>
      </c>
      <c r="F15" s="14">
        <f>D15-E15</f>
        <v>2611980</v>
      </c>
      <c r="G15" s="15">
        <f>D15-E15-H15</f>
        <v>2611980</v>
      </c>
      <c r="H15" s="14">
        <f>' GOODS I'!F72</f>
        <v>0</v>
      </c>
    </row>
    <row r="16" spans="3:9" ht="60" customHeight="1" x14ac:dyDescent="0.25">
      <c r="C16" s="16" t="s">
        <v>38</v>
      </c>
      <c r="D16" s="18">
        <f>SUM(D7:D15)</f>
        <v>49200000</v>
      </c>
      <c r="E16" s="18">
        <f>SUM(E7:E15)</f>
        <v>15771372</v>
      </c>
      <c r="F16" s="18">
        <f>SUM(F7:F15)</f>
        <v>33428628</v>
      </c>
      <c r="G16" s="18">
        <f>SUM(G7:G15)</f>
        <v>7639049.232018712</v>
      </c>
      <c r="H16" s="18">
        <f>SUM(H7:H15)</f>
        <v>25789578.767981287</v>
      </c>
    </row>
    <row r="17" spans="2:9" s="22" customFormat="1" ht="30.75" customHeight="1" x14ac:dyDescent="0.25">
      <c r="C17" s="19"/>
      <c r="D17" s="20"/>
      <c r="E17" s="20"/>
      <c r="F17" s="21"/>
      <c r="G17" s="20"/>
      <c r="H17" s="21"/>
      <c r="I17" s="47"/>
    </row>
    <row r="18" spans="2:9" ht="47.1" customHeight="1" x14ac:dyDescent="0.25">
      <c r="C18" s="23" t="s">
        <v>45</v>
      </c>
      <c r="D18" s="11" t="s">
        <v>32</v>
      </c>
      <c r="E18" s="11" t="s">
        <v>37</v>
      </c>
      <c r="F18" s="25" t="s">
        <v>95</v>
      </c>
      <c r="G18" s="12" t="s">
        <v>35</v>
      </c>
      <c r="H18" s="11" t="s">
        <v>110</v>
      </c>
    </row>
    <row r="19" spans="2:9" ht="34.5" customHeight="1" x14ac:dyDescent="0.25">
      <c r="C19" s="25" t="s">
        <v>14</v>
      </c>
      <c r="D19" s="14">
        <v>1000000</v>
      </c>
      <c r="E19" s="14">
        <f>' WORKS I'!O7</f>
        <v>0</v>
      </c>
      <c r="F19" s="26">
        <f>D19-E19</f>
        <v>1000000</v>
      </c>
      <c r="G19" s="15">
        <f>F19-H19</f>
        <v>704628</v>
      </c>
      <c r="H19" s="26">
        <f>' WORKS I'!F7</f>
        <v>295372</v>
      </c>
      <c r="I19" s="46"/>
    </row>
    <row r="20" spans="2:9" ht="40.5" customHeight="1" x14ac:dyDescent="0.25">
      <c r="C20" s="16" t="s">
        <v>38</v>
      </c>
      <c r="D20" s="18">
        <f>D19</f>
        <v>1000000</v>
      </c>
      <c r="E20" s="18">
        <f>E19</f>
        <v>0</v>
      </c>
      <c r="F20" s="18">
        <f>F19</f>
        <v>1000000</v>
      </c>
      <c r="G20" s="18">
        <f>G19</f>
        <v>704628</v>
      </c>
      <c r="H20" s="18">
        <f>H19</f>
        <v>295372</v>
      </c>
    </row>
    <row r="21" spans="2:9" ht="51.75" customHeight="1" x14ac:dyDescent="0.25">
      <c r="B21" s="10"/>
      <c r="H21" s="10"/>
      <c r="I21" s="48"/>
    </row>
    <row r="22" spans="2:9" ht="45" customHeight="1" x14ac:dyDescent="0.25">
      <c r="B22" s="10"/>
      <c r="C22" s="36" t="s">
        <v>49</v>
      </c>
      <c r="D22" s="11" t="s">
        <v>32</v>
      </c>
      <c r="E22" s="11" t="s">
        <v>37</v>
      </c>
      <c r="F22" s="11" t="s">
        <v>36</v>
      </c>
      <c r="G22" s="12" t="s">
        <v>35</v>
      </c>
      <c r="H22" s="11" t="s">
        <v>110</v>
      </c>
    </row>
    <row r="23" spans="2:9" ht="47.1" customHeight="1" x14ac:dyDescent="0.25">
      <c r="B23" s="10"/>
      <c r="C23" s="24"/>
      <c r="D23" s="14">
        <v>300000</v>
      </c>
      <c r="E23" s="14">
        <f>' CS I '!P6</f>
        <v>6250</v>
      </c>
      <c r="F23" s="14">
        <f>D23-E23</f>
        <v>293750</v>
      </c>
      <c r="G23" s="12">
        <f>D23-E23-H23</f>
        <v>293750</v>
      </c>
      <c r="H23" s="89">
        <f>' CS I '!G6</f>
        <v>0</v>
      </c>
    </row>
    <row r="24" spans="2:9" ht="41.4" customHeight="1" x14ac:dyDescent="0.25">
      <c r="C24" s="24"/>
      <c r="D24" s="35">
        <f>D23</f>
        <v>300000</v>
      </c>
      <c r="E24" s="35">
        <f>E23</f>
        <v>6250</v>
      </c>
      <c r="F24" s="35">
        <f>F23</f>
        <v>293750</v>
      </c>
      <c r="G24" s="35">
        <f>G23</f>
        <v>293750</v>
      </c>
      <c r="H24" s="35">
        <f>H23</f>
        <v>0</v>
      </c>
    </row>
    <row r="25" spans="2:9" s="22" customFormat="1" ht="27" customHeight="1" x14ac:dyDescent="0.25">
      <c r="C25" s="21"/>
      <c r="D25" s="38"/>
      <c r="E25" s="38"/>
      <c r="F25" s="38"/>
      <c r="G25" s="21"/>
      <c r="H25" s="21"/>
      <c r="I25" s="47"/>
    </row>
    <row r="26" spans="2:9" ht="42.6" customHeight="1" x14ac:dyDescent="0.25">
      <c r="C26" s="23" t="s">
        <v>177</v>
      </c>
      <c r="D26" s="35">
        <f>23500000-3000000</f>
        <v>20500000</v>
      </c>
      <c r="E26" s="50"/>
      <c r="F26" s="51"/>
      <c r="G26" s="51"/>
      <c r="H26" s="21"/>
    </row>
    <row r="27" spans="2:9" ht="42.6" customHeight="1" x14ac:dyDescent="0.25">
      <c r="C27" s="212"/>
      <c r="D27" s="38"/>
      <c r="E27" s="50"/>
      <c r="F27" s="51"/>
      <c r="G27" s="51"/>
      <c r="H27" s="21"/>
      <c r="I27" s="47"/>
    </row>
    <row r="28" spans="2:9" ht="52.5" customHeight="1" x14ac:dyDescent="0.25">
      <c r="C28" s="273" t="s">
        <v>63</v>
      </c>
      <c r="D28" s="273"/>
      <c r="E28" s="39"/>
      <c r="F28" s="22"/>
      <c r="G28" s="22"/>
      <c r="H28" s="22"/>
    </row>
    <row r="29" spans="2:9" ht="57.75" customHeight="1" x14ac:dyDescent="0.25">
      <c r="C29" s="36" t="s">
        <v>60</v>
      </c>
      <c r="D29" s="37" t="s">
        <v>32</v>
      </c>
      <c r="E29" s="11" t="s">
        <v>37</v>
      </c>
      <c r="F29" s="11" t="s">
        <v>36</v>
      </c>
      <c r="G29" s="12" t="s">
        <v>35</v>
      </c>
      <c r="H29" s="11" t="s">
        <v>110</v>
      </c>
    </row>
    <row r="30" spans="2:9" ht="33" customHeight="1" x14ac:dyDescent="0.25">
      <c r="C30" s="24"/>
      <c r="D30" s="14">
        <v>300000</v>
      </c>
      <c r="E30" s="26">
        <f>'CS COMP.III'!K10</f>
        <v>160800</v>
      </c>
      <c r="F30" s="26">
        <f>D30-E30</f>
        <v>139200</v>
      </c>
      <c r="G30" s="98">
        <f>D30-E30-H30</f>
        <v>138200</v>
      </c>
      <c r="H30" s="26">
        <f>'CS COMP.III'!E10</f>
        <v>1000</v>
      </c>
    </row>
    <row r="31" spans="2:9" ht="43.5" customHeight="1" x14ac:dyDescent="0.25">
      <c r="C31" s="24"/>
      <c r="D31" s="35">
        <f>D30</f>
        <v>300000</v>
      </c>
      <c r="E31" s="35">
        <f>E30</f>
        <v>160800</v>
      </c>
      <c r="F31" s="35">
        <f>F30</f>
        <v>139200</v>
      </c>
      <c r="G31" s="35">
        <f>G30</f>
        <v>138200</v>
      </c>
      <c r="H31" s="35">
        <f>H30</f>
        <v>1000</v>
      </c>
    </row>
    <row r="35" spans="3:9" ht="14.4" thickBot="1" x14ac:dyDescent="0.3">
      <c r="E35" s="34"/>
      <c r="I35" s="9"/>
    </row>
    <row r="36" spans="3:9" ht="45.75" customHeight="1" thickBot="1" x14ac:dyDescent="0.3">
      <c r="C36" s="41" t="s">
        <v>61</v>
      </c>
      <c r="D36" s="40">
        <f>D31+D26+D24+D20+D16</f>
        <v>71300000</v>
      </c>
      <c r="E36" s="40">
        <f>E16+E20+E24+E31</f>
        <v>15938422</v>
      </c>
      <c r="F36" s="40">
        <f>F16+F20+F24+F31</f>
        <v>34861578</v>
      </c>
      <c r="I36" s="9"/>
    </row>
  </sheetData>
  <mergeCells count="1">
    <mergeCell ref="C28:D28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view="pageBreakPreview" zoomScale="115" zoomScaleNormal="84" zoomScaleSheetLayoutView="115" workbookViewId="0">
      <selection activeCell="H18" sqref="H18"/>
    </sheetView>
  </sheetViews>
  <sheetFormatPr defaultColWidth="9.109375" defaultRowHeight="13.8" x14ac:dyDescent="0.25"/>
  <cols>
    <col min="1" max="1" width="9.109375" style="2"/>
    <col min="2" max="2" width="24.44140625" style="1" customWidth="1"/>
    <col min="3" max="3" width="12.44140625" style="2" customWidth="1"/>
    <col min="4" max="4" width="12.5546875" style="2" customWidth="1"/>
    <col min="5" max="5" width="13.6640625" style="2" customWidth="1"/>
    <col min="6" max="6" width="16.44140625" style="2" bestFit="1" customWidth="1"/>
    <col min="7" max="7" width="13.5546875" style="2" customWidth="1"/>
    <col min="8" max="8" width="12.88671875" style="2" customWidth="1"/>
    <col min="9" max="9" width="11.88671875" style="2" customWidth="1"/>
    <col min="10" max="11" width="14.44140625" style="2" customWidth="1"/>
    <col min="12" max="15" width="15.6640625" style="2" customWidth="1"/>
    <col min="16" max="16384" width="9.109375" style="2"/>
  </cols>
  <sheetData>
    <row r="1" spans="1:15" s="1" customFormat="1" ht="18" x14ac:dyDescent="0.25">
      <c r="A1" s="70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5"/>
    </row>
    <row r="2" spans="1:15" s="56" customFormat="1" ht="69" x14ac:dyDescent="0.25">
      <c r="A2" s="3"/>
      <c r="B2" s="3" t="s">
        <v>0</v>
      </c>
      <c r="C2" s="3" t="s">
        <v>93</v>
      </c>
      <c r="D2" s="3" t="s">
        <v>76</v>
      </c>
      <c r="E2" s="69" t="s">
        <v>88</v>
      </c>
      <c r="F2" s="3" t="s">
        <v>91</v>
      </c>
      <c r="G2" s="3" t="s">
        <v>97</v>
      </c>
      <c r="H2" s="3" t="s">
        <v>77</v>
      </c>
      <c r="I2" s="3" t="s">
        <v>74</v>
      </c>
      <c r="J2" s="3" t="s">
        <v>75</v>
      </c>
      <c r="K2" s="3" t="s">
        <v>71</v>
      </c>
      <c r="L2" s="3" t="s">
        <v>72</v>
      </c>
      <c r="M2" s="3" t="s">
        <v>73</v>
      </c>
      <c r="N2" s="3" t="s">
        <v>78</v>
      </c>
      <c r="O2" s="3" t="s">
        <v>90</v>
      </c>
    </row>
    <row r="3" spans="1:15" s="1" customFormat="1" ht="41.4" x14ac:dyDescent="0.25">
      <c r="A3" s="61"/>
      <c r="B3" s="62" t="s">
        <v>14</v>
      </c>
      <c r="C3" s="61"/>
      <c r="D3" s="61"/>
      <c r="E3" s="61"/>
      <c r="F3" s="63">
        <f>'TOTAL '!D19</f>
        <v>1000000</v>
      </c>
      <c r="G3" s="63"/>
      <c r="H3" s="61"/>
      <c r="I3" s="61"/>
      <c r="J3" s="61"/>
      <c r="K3" s="61"/>
      <c r="L3" s="63"/>
      <c r="M3" s="63"/>
      <c r="N3" s="64" t="s">
        <v>16</v>
      </c>
      <c r="O3" s="64"/>
    </row>
    <row r="4" spans="1:15" ht="52.8" x14ac:dyDescent="0.25">
      <c r="A4" s="6">
        <v>1</v>
      </c>
      <c r="B4" s="65" t="s">
        <v>47</v>
      </c>
      <c r="C4" s="6"/>
      <c r="D4" s="6" t="s">
        <v>94</v>
      </c>
      <c r="E4" s="6"/>
      <c r="F4" s="67">
        <v>230000</v>
      </c>
      <c r="G4" s="67"/>
      <c r="H4" s="6"/>
      <c r="I4" s="6"/>
      <c r="J4" s="6"/>
      <c r="K4" s="6"/>
      <c r="L4" s="59"/>
      <c r="M4" s="58"/>
      <c r="N4" s="6"/>
      <c r="O4" s="59">
        <v>0</v>
      </c>
    </row>
    <row r="5" spans="1:15" ht="39.6" x14ac:dyDescent="0.25">
      <c r="A5" s="6">
        <v>2</v>
      </c>
      <c r="B5" s="65" t="s">
        <v>69</v>
      </c>
      <c r="C5" s="6"/>
      <c r="D5" s="6" t="s">
        <v>94</v>
      </c>
      <c r="E5" s="6"/>
      <c r="F5" s="67">
        <v>65372</v>
      </c>
      <c r="G5" s="67"/>
      <c r="H5" s="6"/>
      <c r="I5" s="6"/>
      <c r="J5" s="6"/>
      <c r="K5" s="6"/>
      <c r="L5" s="59"/>
      <c r="M5" s="58"/>
      <c r="N5" s="6"/>
      <c r="O5" s="59">
        <v>0</v>
      </c>
    </row>
    <row r="6" spans="1:15" x14ac:dyDescent="0.25">
      <c r="A6" s="6">
        <v>3</v>
      </c>
      <c r="B6" s="66" t="s">
        <v>68</v>
      </c>
      <c r="C6" s="6"/>
      <c r="D6" s="6" t="s">
        <v>94</v>
      </c>
      <c r="E6" s="6"/>
      <c r="F6" s="68"/>
      <c r="G6" s="79"/>
      <c r="H6" s="6"/>
      <c r="I6" s="6"/>
      <c r="J6" s="6"/>
      <c r="K6" s="6"/>
      <c r="L6" s="59"/>
      <c r="M6" s="58"/>
      <c r="N6" s="6"/>
      <c r="O6" s="59">
        <v>0</v>
      </c>
    </row>
    <row r="7" spans="1:15" ht="20.25" customHeight="1" x14ac:dyDescent="0.25">
      <c r="A7" s="6"/>
      <c r="B7" s="7"/>
      <c r="C7" s="6"/>
      <c r="D7" s="6"/>
      <c r="E7" s="6"/>
      <c r="F7" s="84">
        <f>SUM(F4:F6)</f>
        <v>295372</v>
      </c>
      <c r="G7" s="80"/>
      <c r="H7" s="6"/>
      <c r="I7" s="6"/>
      <c r="J7" s="6"/>
      <c r="K7" s="6"/>
      <c r="L7" s="58"/>
      <c r="M7" s="58"/>
      <c r="N7" s="6"/>
      <c r="O7" s="57">
        <f>SUM(O4:O6)</f>
        <v>0</v>
      </c>
    </row>
    <row r="43" spans="8:10" x14ac:dyDescent="0.25">
      <c r="H43" s="31"/>
      <c r="I43" s="30"/>
      <c r="J43" s="31"/>
    </row>
    <row r="47" spans="8:10" x14ac:dyDescent="0.25">
      <c r="I47" s="8"/>
      <c r="J47" s="8"/>
    </row>
  </sheetData>
  <mergeCells count="1">
    <mergeCell ref="B1:O1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view="pageBreakPreview" topLeftCell="B1" zoomScale="70" zoomScaleNormal="91" zoomScaleSheetLayoutView="70" workbookViewId="0">
      <pane ySplit="1" topLeftCell="A59" activePane="bottomLeft" state="frozen"/>
      <selection pane="bottomLeft" activeCell="L66" sqref="L65:L66"/>
    </sheetView>
  </sheetViews>
  <sheetFormatPr defaultColWidth="9.109375" defaultRowHeight="13.8" x14ac:dyDescent="0.25"/>
  <cols>
    <col min="1" max="1" width="13.44140625" style="134" customWidth="1"/>
    <col min="2" max="2" width="34.5546875" style="121" customWidth="1"/>
    <col min="3" max="3" width="27.88671875" style="134" customWidth="1"/>
    <col min="4" max="4" width="31.44140625" style="121" customWidth="1"/>
    <col min="5" max="5" width="36" style="175" customWidth="1"/>
    <col min="6" max="6" width="26.33203125" style="134" customWidth="1"/>
    <col min="7" max="7" width="27" style="200" customWidth="1"/>
    <col min="8" max="8" width="23.44140625" style="134" customWidth="1"/>
    <col min="9" max="9" width="19.44140625" style="134" customWidth="1"/>
    <col min="10" max="10" width="17.44140625" style="134" customWidth="1"/>
    <col min="11" max="11" width="18.44140625" style="134" customWidth="1"/>
    <col min="12" max="12" width="25.44140625" style="134" customWidth="1"/>
    <col min="13" max="13" width="21.6640625" style="134" bestFit="1" customWidth="1"/>
    <col min="14" max="14" width="17.33203125" style="134" customWidth="1"/>
    <col min="15" max="15" width="15.44140625" style="134" customWidth="1"/>
    <col min="16" max="16" width="22.5546875" style="134" bestFit="1" customWidth="1"/>
    <col min="17" max="17" width="24.33203125" style="134" customWidth="1"/>
    <col min="18" max="19" width="9.109375" style="134"/>
    <col min="20" max="20" width="14.33203125" style="134" customWidth="1"/>
    <col min="21" max="22" width="9.109375" style="134"/>
    <col min="23" max="23" width="13.6640625" style="134" customWidth="1"/>
    <col min="24" max="16384" width="9.109375" style="134"/>
  </cols>
  <sheetData>
    <row r="1" spans="1:18" s="103" customFormat="1" ht="90.6" customHeight="1" thickBot="1" x14ac:dyDescent="0.3">
      <c r="A1" s="52" t="s">
        <v>21</v>
      </c>
      <c r="B1" s="100" t="s">
        <v>0</v>
      </c>
      <c r="C1" s="52" t="s">
        <v>93</v>
      </c>
      <c r="D1" s="52" t="s">
        <v>76</v>
      </c>
      <c r="E1" s="101" t="s">
        <v>156</v>
      </c>
      <c r="F1" s="52" t="s">
        <v>157</v>
      </c>
      <c r="G1" s="182" t="s">
        <v>139</v>
      </c>
      <c r="H1" s="52" t="s">
        <v>77</v>
      </c>
      <c r="I1" s="52" t="s">
        <v>74</v>
      </c>
      <c r="J1" s="52" t="s">
        <v>75</v>
      </c>
      <c r="K1" s="52" t="s">
        <v>158</v>
      </c>
      <c r="L1" s="52" t="s">
        <v>72</v>
      </c>
      <c r="M1" s="52" t="s">
        <v>73</v>
      </c>
      <c r="N1" s="102" t="s">
        <v>159</v>
      </c>
      <c r="O1" s="52" t="s">
        <v>78</v>
      </c>
      <c r="P1" s="52" t="s">
        <v>90</v>
      </c>
    </row>
    <row r="2" spans="1:18" s="20" customFormat="1" ht="72.75" customHeight="1" thickBot="1" x14ac:dyDescent="0.3">
      <c r="A2" s="104">
        <v>2.1</v>
      </c>
      <c r="B2" s="105" t="s">
        <v>34</v>
      </c>
      <c r="C2" s="106"/>
      <c r="D2" s="106"/>
      <c r="E2" s="107"/>
      <c r="F2" s="106">
        <f>'TOTAL '!D7</f>
        <v>5000000</v>
      </c>
      <c r="G2" s="183"/>
      <c r="H2" s="106"/>
      <c r="I2" s="106"/>
      <c r="J2" s="106"/>
      <c r="K2" s="106"/>
      <c r="L2" s="106"/>
      <c r="M2" s="106"/>
      <c r="N2" s="106"/>
      <c r="O2" s="106"/>
      <c r="P2" s="108"/>
    </row>
    <row r="3" spans="1:18" s="20" customFormat="1" ht="72.75" customHeight="1" x14ac:dyDescent="0.25">
      <c r="A3" s="109">
        <v>1</v>
      </c>
      <c r="B3" s="110" t="s">
        <v>66</v>
      </c>
      <c r="C3" s="53" t="s">
        <v>79</v>
      </c>
      <c r="D3" s="53" t="s">
        <v>67</v>
      </c>
      <c r="E3" s="111"/>
      <c r="F3" s="112"/>
      <c r="G3" s="184" t="s">
        <v>79</v>
      </c>
      <c r="H3" s="53" t="s">
        <v>80</v>
      </c>
      <c r="I3" s="112" t="s">
        <v>81</v>
      </c>
      <c r="J3" s="112" t="s">
        <v>82</v>
      </c>
      <c r="K3" s="53"/>
      <c r="L3" s="53" t="s">
        <v>103</v>
      </c>
      <c r="M3" s="113">
        <v>54000</v>
      </c>
      <c r="N3" s="113"/>
      <c r="O3" s="112">
        <v>3.33</v>
      </c>
      <c r="P3" s="112">
        <f>M3*O3</f>
        <v>179820</v>
      </c>
    </row>
    <row r="4" spans="1:18" s="20" customFormat="1" ht="56.25" customHeight="1" x14ac:dyDescent="0.25">
      <c r="A4" s="109">
        <v>2</v>
      </c>
      <c r="B4" s="17" t="s">
        <v>84</v>
      </c>
      <c r="C4" s="17"/>
      <c r="D4" s="17" t="s">
        <v>67</v>
      </c>
      <c r="E4" s="214">
        <v>3000000</v>
      </c>
      <c r="F4" s="215">
        <f>E4*1.5</f>
        <v>4500000</v>
      </c>
      <c r="G4" s="185"/>
      <c r="H4" s="14"/>
      <c r="I4" s="115"/>
      <c r="J4" s="115"/>
      <c r="K4" s="14"/>
      <c r="L4" s="116"/>
      <c r="M4" s="117"/>
      <c r="N4" s="117"/>
      <c r="O4" s="115"/>
      <c r="P4" s="115"/>
    </row>
    <row r="5" spans="1:18" s="20" customFormat="1" ht="86.25" customHeight="1" x14ac:dyDescent="0.25">
      <c r="A5" s="109">
        <v>3</v>
      </c>
      <c r="B5" s="17" t="s">
        <v>104</v>
      </c>
      <c r="C5" s="17"/>
      <c r="D5" s="17" t="s">
        <v>67</v>
      </c>
      <c r="E5" s="214">
        <v>230000</v>
      </c>
      <c r="F5" s="215">
        <v>250000</v>
      </c>
      <c r="G5" s="185"/>
      <c r="H5" s="14"/>
      <c r="I5" s="115"/>
      <c r="J5" s="115"/>
      <c r="K5" s="14"/>
      <c r="L5" s="116"/>
      <c r="M5" s="117"/>
      <c r="N5" s="117"/>
      <c r="O5" s="115"/>
      <c r="P5" s="115"/>
    </row>
    <row r="6" spans="1:18" s="20" customFormat="1" ht="50.25" customHeight="1" x14ac:dyDescent="0.25">
      <c r="A6" s="109">
        <v>4</v>
      </c>
      <c r="B6" s="17" t="s">
        <v>85</v>
      </c>
      <c r="C6" s="17"/>
      <c r="D6" s="17" t="s">
        <v>67</v>
      </c>
      <c r="E6" s="214">
        <v>40000</v>
      </c>
      <c r="F6" s="215">
        <v>47200</v>
      </c>
      <c r="G6" s="185"/>
      <c r="H6" s="14"/>
      <c r="I6" s="115"/>
      <c r="J6" s="115"/>
      <c r="K6" s="14"/>
      <c r="L6" s="116"/>
      <c r="M6" s="117"/>
      <c r="N6" s="117"/>
      <c r="O6" s="115"/>
      <c r="P6" s="115"/>
    </row>
    <row r="7" spans="1:18" s="20" customFormat="1" ht="53.25" customHeight="1" x14ac:dyDescent="0.25">
      <c r="A7" s="109">
        <v>5</v>
      </c>
      <c r="B7" s="17" t="s">
        <v>87</v>
      </c>
      <c r="C7" s="17"/>
      <c r="D7" s="17" t="s">
        <v>67</v>
      </c>
      <c r="E7" s="214">
        <v>50000</v>
      </c>
      <c r="F7" s="215">
        <f>E7*0.01</f>
        <v>500</v>
      </c>
      <c r="G7" s="185"/>
      <c r="H7" s="14"/>
      <c r="I7" s="115"/>
      <c r="J7" s="115"/>
      <c r="K7" s="14"/>
      <c r="L7" s="116"/>
      <c r="M7" s="117"/>
      <c r="N7" s="117"/>
      <c r="O7" s="115"/>
      <c r="P7" s="115"/>
    </row>
    <row r="8" spans="1:18" s="20" customFormat="1" ht="45" customHeight="1" x14ac:dyDescent="0.25">
      <c r="A8" s="109">
        <v>6</v>
      </c>
      <c r="B8" s="17" t="s">
        <v>86</v>
      </c>
      <c r="C8" s="17"/>
      <c r="D8" s="17" t="s">
        <v>67</v>
      </c>
      <c r="E8" s="214">
        <v>20000</v>
      </c>
      <c r="F8" s="215">
        <f>E8*0.02</f>
        <v>400</v>
      </c>
      <c r="G8" s="185"/>
      <c r="H8" s="14"/>
      <c r="I8" s="115"/>
      <c r="J8" s="115"/>
      <c r="K8" s="14"/>
      <c r="L8" s="116"/>
      <c r="M8" s="117"/>
      <c r="N8" s="117"/>
      <c r="O8" s="115"/>
      <c r="P8" s="115"/>
    </row>
    <row r="9" spans="1:18" s="20" customFormat="1" ht="51.75" customHeight="1" x14ac:dyDescent="0.25">
      <c r="A9" s="109">
        <v>7</v>
      </c>
      <c r="B9" s="17" t="s">
        <v>83</v>
      </c>
      <c r="C9" s="17"/>
      <c r="D9" s="17" t="s">
        <v>67</v>
      </c>
      <c r="E9" s="214">
        <v>4300000</v>
      </c>
      <c r="F9" s="215">
        <v>600000</v>
      </c>
      <c r="G9" s="185"/>
      <c r="H9" s="115"/>
      <c r="I9" s="115"/>
      <c r="J9" s="115"/>
      <c r="K9" s="115"/>
      <c r="L9" s="115"/>
      <c r="M9" s="115"/>
      <c r="N9" s="115"/>
      <c r="O9" s="115"/>
      <c r="P9" s="115">
        <v>0</v>
      </c>
    </row>
    <row r="10" spans="1:18" s="20" customFormat="1" ht="45" customHeight="1" x14ac:dyDescent="0.25">
      <c r="A10" s="109">
        <v>8</v>
      </c>
      <c r="B10" s="17" t="s">
        <v>89</v>
      </c>
      <c r="C10" s="215" t="s">
        <v>215</v>
      </c>
      <c r="D10" s="17" t="s">
        <v>67</v>
      </c>
      <c r="E10" s="214">
        <v>3000000</v>
      </c>
      <c r="F10" s="215">
        <v>609000</v>
      </c>
      <c r="G10" s="185"/>
      <c r="H10" s="115"/>
      <c r="I10" s="115"/>
      <c r="J10" s="115"/>
      <c r="K10" s="115"/>
      <c r="L10" s="115"/>
      <c r="M10" s="115"/>
      <c r="N10" s="115"/>
      <c r="O10" s="115"/>
      <c r="P10" s="115"/>
    </row>
    <row r="11" spans="1:18" s="121" customFormat="1" ht="54" customHeight="1" thickBot="1" x14ac:dyDescent="0.3">
      <c r="A11" s="279" t="s">
        <v>33</v>
      </c>
      <c r="B11" s="280"/>
      <c r="C11" s="280"/>
      <c r="D11" s="280"/>
      <c r="E11" s="118"/>
      <c r="F11" s="119">
        <f>SUM(F4:F10)</f>
        <v>6007100</v>
      </c>
      <c r="G11" s="186"/>
      <c r="H11" s="120"/>
      <c r="I11" s="120"/>
      <c r="J11" s="120"/>
      <c r="K11" s="120"/>
      <c r="P11" s="122">
        <f>P3+P9</f>
        <v>179820</v>
      </c>
    </row>
    <row r="12" spans="1:18" s="20" customFormat="1" ht="141" customHeight="1" x14ac:dyDescent="0.25">
      <c r="A12" s="217">
        <v>2.1</v>
      </c>
      <c r="B12" s="218" t="s">
        <v>23</v>
      </c>
      <c r="C12" s="219"/>
      <c r="D12" s="220"/>
      <c r="E12" s="219"/>
      <c r="F12" s="219">
        <f>'TOTAL '!D8</f>
        <v>7000000</v>
      </c>
      <c r="G12" s="221"/>
      <c r="H12" s="219"/>
      <c r="I12" s="219"/>
      <c r="J12" s="219"/>
      <c r="K12" s="219"/>
      <c r="L12" s="219"/>
      <c r="M12" s="219"/>
      <c r="N12" s="219"/>
      <c r="O12" s="219"/>
      <c r="P12" s="222"/>
    </row>
    <row r="13" spans="1:18" s="20" customFormat="1" ht="66" customHeight="1" x14ac:dyDescent="0.2">
      <c r="A13" s="223"/>
      <c r="B13" s="224" t="s">
        <v>201</v>
      </c>
      <c r="C13" s="225" t="s">
        <v>193</v>
      </c>
      <c r="D13" s="224" t="s">
        <v>67</v>
      </c>
      <c r="E13" s="226">
        <v>1</v>
      </c>
      <c r="F13" s="225">
        <f>(88000*R13)/R14</f>
        <v>103980.76798128776</v>
      </c>
      <c r="G13" s="185"/>
      <c r="H13" s="115"/>
      <c r="I13" s="115"/>
      <c r="J13" s="115"/>
      <c r="K13" s="115"/>
      <c r="L13" s="115"/>
      <c r="M13" s="115"/>
      <c r="N13" s="115"/>
      <c r="O13" s="115"/>
      <c r="P13" s="115"/>
      <c r="R13" s="31">
        <v>3.6372</v>
      </c>
    </row>
    <row r="14" spans="1:18" s="20" customFormat="1" ht="61.5" customHeight="1" x14ac:dyDescent="0.2">
      <c r="A14" s="109">
        <v>1</v>
      </c>
      <c r="B14" s="124" t="s">
        <v>52</v>
      </c>
      <c r="C14" s="112"/>
      <c r="D14" s="53"/>
      <c r="E14" s="111"/>
      <c r="F14" s="112">
        <v>0</v>
      </c>
      <c r="G14" s="187"/>
      <c r="H14" s="112"/>
      <c r="I14" s="112"/>
      <c r="J14" s="112"/>
      <c r="K14" s="112"/>
      <c r="L14" s="112"/>
      <c r="M14" s="112"/>
      <c r="N14" s="112"/>
      <c r="O14" s="112"/>
      <c r="P14" s="112">
        <v>0</v>
      </c>
      <c r="R14" s="31">
        <v>3.0781999999999998</v>
      </c>
    </row>
    <row r="15" spans="1:18" s="20" customFormat="1" ht="51" customHeight="1" x14ac:dyDescent="0.25">
      <c r="A15" s="109">
        <v>1</v>
      </c>
      <c r="B15" s="124" t="s">
        <v>50</v>
      </c>
      <c r="C15" s="115"/>
      <c r="D15" s="14"/>
      <c r="E15" s="114"/>
      <c r="F15" s="115">
        <v>0</v>
      </c>
      <c r="G15" s="185"/>
      <c r="H15" s="115"/>
      <c r="I15" s="115"/>
      <c r="J15" s="115"/>
      <c r="K15" s="115"/>
      <c r="L15" s="115"/>
      <c r="M15" s="115"/>
      <c r="N15" s="115"/>
      <c r="O15" s="115"/>
      <c r="P15" s="112">
        <v>0</v>
      </c>
    </row>
    <row r="16" spans="1:18" s="20" customFormat="1" ht="54.75" customHeight="1" x14ac:dyDescent="0.25">
      <c r="A16" s="109">
        <v>1</v>
      </c>
      <c r="B16" s="124" t="s">
        <v>105</v>
      </c>
      <c r="C16" s="115"/>
      <c r="D16" s="14"/>
      <c r="E16" s="114"/>
      <c r="F16" s="115">
        <v>0</v>
      </c>
      <c r="G16" s="185"/>
      <c r="H16" s="115"/>
      <c r="I16" s="115"/>
      <c r="J16" s="115"/>
      <c r="K16" s="115"/>
      <c r="L16" s="115"/>
      <c r="M16" s="115"/>
      <c r="N16" s="115"/>
      <c r="O16" s="115"/>
      <c r="P16" s="112">
        <v>0</v>
      </c>
    </row>
    <row r="17" spans="1:16" s="20" customFormat="1" ht="52.5" customHeight="1" x14ac:dyDescent="0.25">
      <c r="A17" s="109">
        <v>1</v>
      </c>
      <c r="B17" s="227" t="s">
        <v>106</v>
      </c>
      <c r="C17" s="115"/>
      <c r="E17" s="114"/>
      <c r="F17" s="115">
        <v>0</v>
      </c>
      <c r="G17" s="185"/>
      <c r="H17" s="115"/>
      <c r="I17" s="115"/>
      <c r="J17" s="115"/>
      <c r="K17" s="115"/>
      <c r="L17" s="115"/>
      <c r="M17" s="115"/>
      <c r="N17" s="115"/>
      <c r="O17" s="115"/>
      <c r="P17" s="112">
        <v>0</v>
      </c>
    </row>
    <row r="18" spans="1:16" s="20" customFormat="1" ht="54.75" customHeight="1" x14ac:dyDescent="0.25">
      <c r="A18" s="109">
        <v>1</v>
      </c>
      <c r="B18" s="124" t="s">
        <v>151</v>
      </c>
      <c r="C18" s="115"/>
      <c r="D18" s="14"/>
      <c r="E18" s="114"/>
      <c r="F18" s="115">
        <v>0</v>
      </c>
      <c r="G18" s="185"/>
      <c r="H18" s="115"/>
      <c r="I18" s="115"/>
      <c r="J18" s="115"/>
      <c r="K18" s="115"/>
      <c r="L18" s="115"/>
      <c r="M18" s="115"/>
      <c r="N18" s="115"/>
      <c r="O18" s="115"/>
      <c r="P18" s="112">
        <v>0</v>
      </c>
    </row>
    <row r="19" spans="1:16" s="20" customFormat="1" ht="54" customHeight="1" x14ac:dyDescent="0.25">
      <c r="A19" s="109">
        <v>1</v>
      </c>
      <c r="B19" s="124" t="s">
        <v>51</v>
      </c>
      <c r="C19" s="115"/>
      <c r="D19" s="14"/>
      <c r="E19" s="114"/>
      <c r="F19" s="115">
        <v>0</v>
      </c>
      <c r="G19" s="185"/>
      <c r="H19" s="115"/>
      <c r="I19" s="115"/>
      <c r="J19" s="115"/>
      <c r="K19" s="115"/>
      <c r="L19" s="115"/>
      <c r="M19" s="115"/>
      <c r="N19" s="115"/>
      <c r="O19" s="115"/>
      <c r="P19" s="112">
        <v>0</v>
      </c>
    </row>
    <row r="20" spans="1:16" s="20" customFormat="1" ht="57.75" customHeight="1" x14ac:dyDescent="0.25">
      <c r="A20" s="156"/>
      <c r="B20" s="141" t="s">
        <v>17</v>
      </c>
      <c r="C20" s="140"/>
      <c r="D20" s="140" t="s">
        <v>1</v>
      </c>
      <c r="E20" s="142"/>
      <c r="F20" s="143">
        <v>0</v>
      </c>
      <c r="G20" s="208" t="s">
        <v>160</v>
      </c>
      <c r="H20" s="202">
        <v>43972</v>
      </c>
      <c r="I20" s="99" t="s">
        <v>161</v>
      </c>
      <c r="J20" s="140"/>
      <c r="K20" s="209" t="s">
        <v>163</v>
      </c>
      <c r="L20" s="140" t="s">
        <v>162</v>
      </c>
      <c r="M20" s="142">
        <v>30</v>
      </c>
      <c r="N20" s="140"/>
      <c r="O20" s="143">
        <v>13447.92</v>
      </c>
      <c r="P20" s="143">
        <f>M20*O20</f>
        <v>403437.6</v>
      </c>
    </row>
    <row r="21" spans="1:16" s="121" customFormat="1" ht="52.5" customHeight="1" x14ac:dyDescent="0.25">
      <c r="A21" s="109">
        <v>1</v>
      </c>
      <c r="B21" s="17" t="s">
        <v>107</v>
      </c>
      <c r="C21" s="115"/>
      <c r="D21" s="14"/>
      <c r="E21" s="114"/>
      <c r="F21" s="115">
        <v>0</v>
      </c>
      <c r="G21" s="185"/>
      <c r="H21" s="115"/>
      <c r="I21" s="115"/>
      <c r="J21" s="115"/>
      <c r="K21" s="115"/>
      <c r="L21" s="115"/>
      <c r="M21" s="115"/>
      <c r="N21" s="115"/>
      <c r="O21" s="115"/>
      <c r="P21" s="112">
        <v>0</v>
      </c>
    </row>
    <row r="22" spans="1:16" s="121" customFormat="1" ht="52.5" customHeight="1" x14ac:dyDescent="0.25">
      <c r="A22" s="109"/>
      <c r="B22" s="236" t="s">
        <v>216</v>
      </c>
      <c r="C22" s="249"/>
      <c r="D22" s="248"/>
      <c r="E22" s="265">
        <v>36</v>
      </c>
      <c r="F22" s="249">
        <f>E22*16000</f>
        <v>576000</v>
      </c>
      <c r="G22" s="264"/>
      <c r="H22" s="249"/>
      <c r="I22" s="249"/>
      <c r="J22" s="249"/>
      <c r="K22" s="249"/>
      <c r="L22" s="249"/>
      <c r="M22" s="249"/>
      <c r="N22" s="249"/>
      <c r="O22" s="249"/>
      <c r="P22" s="112"/>
    </row>
    <row r="23" spans="1:16" s="121" customFormat="1" ht="74.25" customHeight="1" x14ac:dyDescent="0.25">
      <c r="A23" s="235"/>
      <c r="B23" s="236" t="s">
        <v>205</v>
      </c>
      <c r="C23" s="239" t="s">
        <v>202</v>
      </c>
      <c r="D23" s="236" t="s">
        <v>1</v>
      </c>
      <c r="E23" s="240"/>
      <c r="F23" s="239">
        <v>6185998</v>
      </c>
      <c r="G23" s="241" t="s">
        <v>202</v>
      </c>
      <c r="H23" s="242" t="s">
        <v>203</v>
      </c>
      <c r="I23" s="239"/>
      <c r="J23" s="239"/>
      <c r="K23" s="239"/>
      <c r="L23" s="243" t="s">
        <v>204</v>
      </c>
      <c r="M23" s="239"/>
      <c r="N23" s="239"/>
      <c r="O23" s="239"/>
      <c r="P23" s="239"/>
    </row>
    <row r="24" spans="1:16" s="103" customFormat="1" ht="46.5" customHeight="1" thickBot="1" x14ac:dyDescent="0.3">
      <c r="A24" s="276" t="s">
        <v>33</v>
      </c>
      <c r="B24" s="277"/>
      <c r="C24" s="277"/>
      <c r="D24" s="278"/>
      <c r="E24" s="125"/>
      <c r="F24" s="126">
        <f>SUM(F13:F23)</f>
        <v>6865978.767981288</v>
      </c>
      <c r="G24" s="186"/>
      <c r="H24" s="120"/>
      <c r="I24" s="120"/>
      <c r="J24" s="120"/>
      <c r="K24" s="120"/>
      <c r="L24" s="121"/>
      <c r="M24" s="121"/>
      <c r="N24" s="121"/>
      <c r="O24" s="121"/>
      <c r="P24" s="234">
        <f>SUM(P14:P21)</f>
        <v>403437.6</v>
      </c>
    </row>
    <row r="25" spans="1:16" s="20" customFormat="1" ht="110.25" customHeight="1" thickBot="1" x14ac:dyDescent="0.3">
      <c r="A25" s="104">
        <v>2.1</v>
      </c>
      <c r="B25" s="123" t="s">
        <v>30</v>
      </c>
      <c r="C25" s="123"/>
      <c r="D25" s="123" t="s">
        <v>2</v>
      </c>
      <c r="E25" s="127"/>
      <c r="F25" s="123">
        <f>'TOTAL '!D9</f>
        <v>1000000</v>
      </c>
      <c r="G25" s="188"/>
      <c r="H25" s="123"/>
      <c r="I25" s="123"/>
      <c r="J25" s="123"/>
      <c r="K25" s="123"/>
      <c r="L25" s="123"/>
      <c r="M25" s="123"/>
      <c r="N25" s="123"/>
      <c r="O25" s="123"/>
      <c r="P25" s="128"/>
    </row>
    <row r="26" spans="1:16" s="121" customFormat="1" ht="82.5" customHeight="1" x14ac:dyDescent="0.25">
      <c r="A26" s="112"/>
      <c r="B26" s="129" t="s">
        <v>48</v>
      </c>
      <c r="C26" s="112"/>
      <c r="D26" s="53"/>
      <c r="E26" s="111">
        <v>50</v>
      </c>
      <c r="F26" s="130">
        <f>E26*20000</f>
        <v>1000000</v>
      </c>
      <c r="G26" s="189"/>
      <c r="H26" s="112"/>
      <c r="I26" s="112"/>
      <c r="J26" s="112"/>
      <c r="K26" s="112"/>
      <c r="L26" s="112"/>
      <c r="M26" s="112"/>
      <c r="N26" s="112"/>
      <c r="O26" s="112"/>
      <c r="P26" s="112">
        <v>0</v>
      </c>
    </row>
    <row r="27" spans="1:16" s="103" customFormat="1" ht="63" customHeight="1" thickBot="1" x14ac:dyDescent="0.3">
      <c r="A27" s="131" t="s">
        <v>33</v>
      </c>
      <c r="B27" s="281"/>
      <c r="C27" s="282"/>
      <c r="D27" s="282"/>
      <c r="E27" s="282"/>
      <c r="F27" s="132">
        <f>SUM(F26:F26)</f>
        <v>1000000</v>
      </c>
      <c r="G27" s="190"/>
      <c r="H27" s="133"/>
      <c r="I27" s="133"/>
      <c r="J27" s="133"/>
      <c r="K27" s="133"/>
      <c r="L27" s="134"/>
      <c r="M27" s="134"/>
      <c r="N27" s="134"/>
      <c r="O27" s="134"/>
      <c r="P27" s="135">
        <f>P26</f>
        <v>0</v>
      </c>
    </row>
    <row r="28" spans="1:16" s="103" customFormat="1" ht="110.25" customHeight="1" thickBot="1" x14ac:dyDescent="0.3">
      <c r="A28" s="104">
        <v>2.1</v>
      </c>
      <c r="B28" s="123" t="s">
        <v>24</v>
      </c>
      <c r="C28" s="123"/>
      <c r="D28" s="123" t="s">
        <v>2</v>
      </c>
      <c r="E28" s="127"/>
      <c r="F28" s="123">
        <f>'TOTAL '!D10</f>
        <v>2250000</v>
      </c>
      <c r="G28" s="188"/>
      <c r="H28" s="123"/>
      <c r="I28" s="123"/>
      <c r="J28" s="123"/>
      <c r="K28" s="123"/>
      <c r="L28" s="123"/>
      <c r="M28" s="123"/>
      <c r="N28" s="123"/>
      <c r="O28" s="123"/>
      <c r="P28" s="136"/>
    </row>
    <row r="29" spans="1:16" s="121" customFormat="1" ht="88.5" customHeight="1" x14ac:dyDescent="0.25">
      <c r="A29" s="53"/>
      <c r="B29" s="124" t="s">
        <v>53</v>
      </c>
      <c r="C29" s="53"/>
      <c r="D29" s="53" t="s">
        <v>28</v>
      </c>
      <c r="E29" s="111">
        <v>30</v>
      </c>
      <c r="F29" s="137">
        <f>E29*65000</f>
        <v>1950000</v>
      </c>
      <c r="G29" s="191"/>
      <c r="H29" s="53"/>
      <c r="I29" s="53"/>
      <c r="J29" s="53"/>
      <c r="K29" s="53"/>
      <c r="L29" s="53"/>
      <c r="M29" s="53"/>
      <c r="N29" s="53"/>
      <c r="O29" s="53"/>
      <c r="P29" s="53"/>
    </row>
    <row r="30" spans="1:16" s="103" customFormat="1" ht="58.5" customHeight="1" thickBot="1" x14ac:dyDescent="0.3">
      <c r="A30" s="279" t="s">
        <v>33</v>
      </c>
      <c r="B30" s="279"/>
      <c r="C30" s="279"/>
      <c r="D30" s="279"/>
      <c r="E30" s="118"/>
      <c r="F30" s="138">
        <f>SUM(F29:F29)</f>
        <v>1950000</v>
      </c>
      <c r="G30" s="186"/>
      <c r="H30" s="288"/>
      <c r="I30" s="288"/>
      <c r="J30" s="288"/>
      <c r="K30" s="288"/>
      <c r="L30" s="288"/>
      <c r="M30" s="288"/>
      <c r="N30" s="288"/>
      <c r="O30" s="289"/>
      <c r="P30" s="139">
        <f>P29</f>
        <v>0</v>
      </c>
    </row>
    <row r="31" spans="1:16" s="121" customFormat="1" ht="55.5" customHeight="1" thickBot="1" x14ac:dyDescent="0.3">
      <c r="A31" s="104">
        <v>1.1000000000000001</v>
      </c>
      <c r="B31" s="105" t="s">
        <v>25</v>
      </c>
      <c r="C31" s="123"/>
      <c r="D31" s="123" t="s">
        <v>1</v>
      </c>
      <c r="E31" s="127"/>
      <c r="F31" s="123">
        <f>'TOTAL '!D11</f>
        <v>25250000</v>
      </c>
      <c r="G31" s="188"/>
      <c r="H31" s="123"/>
      <c r="I31" s="123"/>
      <c r="J31" s="123"/>
      <c r="K31" s="123"/>
      <c r="L31" s="123"/>
      <c r="M31" s="123"/>
      <c r="N31" s="123"/>
      <c r="O31" s="123"/>
      <c r="P31" s="136"/>
    </row>
    <row r="32" spans="1:16" s="121" customFormat="1" ht="80.25" customHeight="1" x14ac:dyDescent="0.25">
      <c r="A32" s="140"/>
      <c r="B32" s="284" t="s">
        <v>125</v>
      </c>
      <c r="C32" s="140"/>
      <c r="D32" s="140" t="s">
        <v>1</v>
      </c>
      <c r="E32" s="142"/>
      <c r="F32" s="143"/>
      <c r="G32" s="290" t="s">
        <v>111</v>
      </c>
      <c r="H32" s="178" t="s">
        <v>130</v>
      </c>
      <c r="I32" s="179" t="s">
        <v>128</v>
      </c>
      <c r="J32" s="140" t="s">
        <v>82</v>
      </c>
      <c r="K32" s="53" t="s">
        <v>115</v>
      </c>
      <c r="L32" s="144" t="s">
        <v>119</v>
      </c>
      <c r="M32" s="142">
        <v>97000</v>
      </c>
      <c r="N32" s="140" t="s">
        <v>119</v>
      </c>
      <c r="O32" s="140" t="s">
        <v>112</v>
      </c>
      <c r="P32" s="143">
        <v>504400</v>
      </c>
    </row>
    <row r="33" spans="1:19" ht="62.25" customHeight="1" x14ac:dyDescent="0.25">
      <c r="A33" s="151"/>
      <c r="B33" s="285"/>
      <c r="C33" s="144"/>
      <c r="D33" s="144" t="s">
        <v>67</v>
      </c>
      <c r="E33" s="145"/>
      <c r="F33" s="145"/>
      <c r="G33" s="291"/>
      <c r="H33" s="178"/>
      <c r="I33" s="179" t="s">
        <v>128</v>
      </c>
      <c r="J33" s="145" t="s">
        <v>82</v>
      </c>
      <c r="K33" s="114" t="s">
        <v>102</v>
      </c>
      <c r="L33" s="145" t="s">
        <v>114</v>
      </c>
      <c r="M33" s="145" t="s">
        <v>113</v>
      </c>
      <c r="N33" s="140" t="s">
        <v>119</v>
      </c>
      <c r="O33" s="145" t="s">
        <v>112</v>
      </c>
      <c r="P33" s="143">
        <v>520000</v>
      </c>
    </row>
    <row r="34" spans="1:19" s="121" customFormat="1" ht="95.25" customHeight="1" x14ac:dyDescent="0.25">
      <c r="A34" s="144"/>
      <c r="B34" s="55" t="s">
        <v>126</v>
      </c>
      <c r="C34" s="144"/>
      <c r="D34" s="144" t="s">
        <v>1</v>
      </c>
      <c r="E34" s="145"/>
      <c r="F34" s="146"/>
      <c r="G34" s="192" t="s">
        <v>118</v>
      </c>
      <c r="H34" s="180" t="s">
        <v>129</v>
      </c>
      <c r="I34" s="179" t="s">
        <v>147</v>
      </c>
      <c r="J34" s="144" t="s">
        <v>82</v>
      </c>
      <c r="K34" s="144"/>
      <c r="L34" s="144" t="s">
        <v>119</v>
      </c>
      <c r="M34" s="145">
        <v>50000</v>
      </c>
      <c r="N34" s="144" t="s">
        <v>119</v>
      </c>
      <c r="O34" s="144"/>
      <c r="P34" s="146">
        <v>612200</v>
      </c>
    </row>
    <row r="35" spans="1:19" s="121" customFormat="1" ht="66" customHeight="1" x14ac:dyDescent="0.25">
      <c r="A35" s="144"/>
      <c r="B35" s="55" t="s">
        <v>12</v>
      </c>
      <c r="C35" s="144"/>
      <c r="D35" s="144" t="s">
        <v>1</v>
      </c>
      <c r="E35" s="145"/>
      <c r="F35" s="146"/>
      <c r="G35" s="194" t="s">
        <v>120</v>
      </c>
      <c r="H35" s="201" t="s">
        <v>121</v>
      </c>
      <c r="I35" s="181" t="s">
        <v>152</v>
      </c>
      <c r="J35" s="144" t="s">
        <v>124</v>
      </c>
      <c r="K35" s="144"/>
      <c r="L35" s="144" t="s">
        <v>119</v>
      </c>
      <c r="M35" s="144" t="s">
        <v>122</v>
      </c>
      <c r="N35" s="144" t="s">
        <v>119</v>
      </c>
      <c r="O35" s="144" t="s">
        <v>123</v>
      </c>
      <c r="P35" s="146">
        <v>338708</v>
      </c>
    </row>
    <row r="36" spans="1:19" s="121" customFormat="1" ht="55.2" x14ac:dyDescent="0.25">
      <c r="A36" s="144"/>
      <c r="B36" s="55" t="s">
        <v>127</v>
      </c>
      <c r="C36" s="144"/>
      <c r="D36" s="144" t="s">
        <v>1</v>
      </c>
      <c r="E36" s="145"/>
      <c r="F36" s="146"/>
      <c r="G36" s="192" t="s">
        <v>135</v>
      </c>
      <c r="H36" s="178" t="s">
        <v>136</v>
      </c>
      <c r="I36" s="99" t="s">
        <v>131</v>
      </c>
      <c r="J36" s="144" t="s">
        <v>124</v>
      </c>
      <c r="K36" s="144"/>
      <c r="L36" s="144" t="s">
        <v>138</v>
      </c>
      <c r="M36" s="145">
        <v>1800</v>
      </c>
      <c r="N36" s="144" t="s">
        <v>155</v>
      </c>
      <c r="O36" s="144"/>
      <c r="P36" s="146">
        <v>5685100</v>
      </c>
    </row>
    <row r="37" spans="1:19" ht="55.2" x14ac:dyDescent="0.25">
      <c r="A37" s="151"/>
      <c r="B37" s="14" t="s">
        <v>116</v>
      </c>
      <c r="C37" s="55"/>
      <c r="D37" s="146" t="s">
        <v>67</v>
      </c>
      <c r="E37" s="211"/>
      <c r="F37" s="146"/>
      <c r="G37" s="194" t="s">
        <v>118</v>
      </c>
      <c r="H37" s="178" t="s">
        <v>170</v>
      </c>
      <c r="I37" s="146" t="s">
        <v>147</v>
      </c>
      <c r="J37" s="146" t="s">
        <v>117</v>
      </c>
      <c r="K37" s="146"/>
      <c r="L37" s="146" t="s">
        <v>169</v>
      </c>
      <c r="M37" s="211">
        <v>100000</v>
      </c>
      <c r="N37" s="146"/>
      <c r="O37" s="146">
        <v>9.1875</v>
      </c>
      <c r="P37" s="146">
        <f>M37*O37</f>
        <v>918750</v>
      </c>
      <c r="Q37" s="121"/>
      <c r="R37" s="121"/>
      <c r="S37" s="121"/>
    </row>
    <row r="38" spans="1:19" ht="57" customHeight="1" x14ac:dyDescent="0.25">
      <c r="A38" s="213"/>
      <c r="B38" s="14" t="s">
        <v>132</v>
      </c>
      <c r="C38" s="144"/>
      <c r="D38" s="144" t="s">
        <v>1</v>
      </c>
      <c r="E38" s="145"/>
      <c r="F38" s="146"/>
      <c r="G38" s="192" t="s">
        <v>137</v>
      </c>
      <c r="H38" s="178" t="s">
        <v>134</v>
      </c>
      <c r="I38" s="99" t="s">
        <v>131</v>
      </c>
      <c r="J38" s="144" t="s">
        <v>82</v>
      </c>
      <c r="K38" s="144"/>
      <c r="L38" s="144" t="s">
        <v>172</v>
      </c>
      <c r="M38" s="145" t="s">
        <v>133</v>
      </c>
      <c r="N38" s="202">
        <v>44134</v>
      </c>
      <c r="O38" s="144"/>
      <c r="P38" s="146">
        <v>478240.4</v>
      </c>
      <c r="Q38" s="121"/>
      <c r="R38" s="121"/>
      <c r="S38" s="121"/>
    </row>
    <row r="39" spans="1:19" ht="112.5" customHeight="1" x14ac:dyDescent="0.25">
      <c r="A39" s="153"/>
      <c r="B39" s="14" t="s">
        <v>188</v>
      </c>
      <c r="C39" s="146"/>
      <c r="D39" s="146" t="s">
        <v>67</v>
      </c>
      <c r="E39" s="211"/>
      <c r="F39" s="146"/>
      <c r="G39" s="192" t="s">
        <v>189</v>
      </c>
      <c r="H39" s="178" t="s">
        <v>190</v>
      </c>
      <c r="I39" s="146" t="s">
        <v>128</v>
      </c>
      <c r="J39" s="146" t="s">
        <v>117</v>
      </c>
      <c r="K39" s="146"/>
      <c r="L39" s="146" t="s">
        <v>154</v>
      </c>
      <c r="M39" s="211">
        <v>400000</v>
      </c>
      <c r="N39" s="146"/>
      <c r="O39" s="146"/>
      <c r="P39" s="146">
        <v>4200000</v>
      </c>
      <c r="Q39" s="121"/>
      <c r="R39" s="121"/>
      <c r="S39" s="121"/>
    </row>
    <row r="40" spans="1:19" ht="90.75" customHeight="1" x14ac:dyDescent="0.25">
      <c r="A40" s="151"/>
      <c r="B40" s="146" t="s">
        <v>144</v>
      </c>
      <c r="C40" s="152"/>
      <c r="D40" s="146" t="s">
        <v>67</v>
      </c>
      <c r="E40" s="205" t="s">
        <v>171</v>
      </c>
      <c r="F40" s="152"/>
      <c r="G40" s="192" t="s">
        <v>192</v>
      </c>
      <c r="H40" s="178" t="s">
        <v>191</v>
      </c>
      <c r="I40" s="146" t="s">
        <v>148</v>
      </c>
      <c r="J40" s="146" t="s">
        <v>117</v>
      </c>
      <c r="K40" s="146"/>
      <c r="L40" s="146" t="s">
        <v>153</v>
      </c>
      <c r="M40" s="146" t="s">
        <v>187</v>
      </c>
      <c r="N40" s="146"/>
      <c r="O40" s="216">
        <v>298</v>
      </c>
      <c r="P40" s="146">
        <v>356000</v>
      </c>
      <c r="Q40" s="121"/>
      <c r="R40" s="121"/>
      <c r="S40" s="121"/>
    </row>
    <row r="41" spans="1:19" s="121" customFormat="1" ht="90.75" customHeight="1" x14ac:dyDescent="0.25">
      <c r="A41" s="144"/>
      <c r="B41" s="246" t="s">
        <v>29</v>
      </c>
      <c r="C41" s="152"/>
      <c r="D41" s="152" t="s">
        <v>1</v>
      </c>
      <c r="E41" s="205">
        <v>1</v>
      </c>
      <c r="F41" s="152"/>
      <c r="G41" s="192" t="s">
        <v>212</v>
      </c>
      <c r="H41" s="178" t="s">
        <v>211</v>
      </c>
      <c r="I41" s="146" t="s">
        <v>213</v>
      </c>
      <c r="J41" s="146" t="s">
        <v>82</v>
      </c>
      <c r="K41" s="152"/>
      <c r="L41" s="152"/>
      <c r="M41" s="247">
        <v>1</v>
      </c>
      <c r="N41" s="152"/>
      <c r="O41" s="152"/>
      <c r="P41" s="152">
        <v>493980</v>
      </c>
    </row>
    <row r="42" spans="1:19" ht="57.75" customHeight="1" x14ac:dyDescent="0.25">
      <c r="A42" s="148"/>
      <c r="B42" s="149" t="s">
        <v>20</v>
      </c>
      <c r="C42" s="149"/>
      <c r="D42" s="149" t="s">
        <v>28</v>
      </c>
      <c r="E42" s="206">
        <v>200000</v>
      </c>
      <c r="F42" s="149">
        <v>350000</v>
      </c>
      <c r="G42" s="195"/>
      <c r="H42" s="204"/>
      <c r="I42" s="152"/>
      <c r="J42" s="149"/>
      <c r="K42" s="149"/>
      <c r="L42" s="149"/>
      <c r="M42" s="149"/>
      <c r="N42" s="203"/>
      <c r="O42" s="149"/>
      <c r="P42" s="149">
        <v>0</v>
      </c>
      <c r="Q42" s="121"/>
      <c r="R42" s="121"/>
      <c r="S42" s="121"/>
    </row>
    <row r="43" spans="1:19" ht="62.25" customHeight="1" x14ac:dyDescent="0.25">
      <c r="A43" s="151"/>
      <c r="B43" s="228" t="s">
        <v>141</v>
      </c>
      <c r="C43" s="228" t="s">
        <v>140</v>
      </c>
      <c r="D43" s="228" t="s">
        <v>67</v>
      </c>
      <c r="E43" s="229">
        <v>10000</v>
      </c>
      <c r="F43" s="228">
        <v>253000</v>
      </c>
      <c r="G43" s="195"/>
      <c r="H43" s="152"/>
      <c r="I43" s="152" t="s">
        <v>142</v>
      </c>
      <c r="J43" s="152" t="s">
        <v>143</v>
      </c>
      <c r="K43" s="152"/>
      <c r="L43" s="152" t="s">
        <v>150</v>
      </c>
      <c r="M43" s="152"/>
      <c r="N43" s="152"/>
      <c r="O43" s="152"/>
      <c r="P43" s="149">
        <v>0</v>
      </c>
      <c r="Q43" s="121"/>
      <c r="R43" s="121"/>
      <c r="S43" s="121"/>
    </row>
    <row r="44" spans="1:19" ht="62.25" customHeight="1" x14ac:dyDescent="0.25">
      <c r="A44" s="153"/>
      <c r="B44" s="144" t="s">
        <v>175</v>
      </c>
      <c r="C44" s="144" t="s">
        <v>174</v>
      </c>
      <c r="D44" s="144" t="s">
        <v>67</v>
      </c>
      <c r="E44" s="145"/>
      <c r="F44" s="144"/>
      <c r="G44" s="199" t="s">
        <v>120</v>
      </c>
      <c r="H44" s="144" t="s">
        <v>195</v>
      </c>
      <c r="I44" s="144" t="s">
        <v>196</v>
      </c>
      <c r="J44" s="144"/>
      <c r="K44" s="144"/>
      <c r="L44" s="144" t="s">
        <v>197</v>
      </c>
      <c r="M44" s="144" t="s">
        <v>200</v>
      </c>
      <c r="N44" s="144"/>
      <c r="O44" s="144" t="s">
        <v>198</v>
      </c>
      <c r="P44" s="144" t="s">
        <v>199</v>
      </c>
      <c r="Q44" s="121"/>
      <c r="R44" s="121"/>
      <c r="S44" s="121"/>
    </row>
    <row r="45" spans="1:19" ht="57" customHeight="1" x14ac:dyDescent="0.25">
      <c r="A45" s="153"/>
      <c r="B45" s="228" t="s">
        <v>146</v>
      </c>
      <c r="C45" s="228" t="s">
        <v>145</v>
      </c>
      <c r="D45" s="228" t="s">
        <v>67</v>
      </c>
      <c r="E45" s="229">
        <v>150000</v>
      </c>
      <c r="F45" s="228">
        <f>E45*26.84</f>
        <v>4026000</v>
      </c>
      <c r="G45" s="195"/>
      <c r="H45" s="152"/>
      <c r="I45" s="152"/>
      <c r="J45" s="152"/>
      <c r="K45" s="152"/>
      <c r="L45" s="152"/>
      <c r="M45" s="152"/>
      <c r="N45" s="152"/>
      <c r="O45" s="152"/>
      <c r="P45" s="152">
        <f t="shared" ref="P45:P52" si="0">O45*9</f>
        <v>0</v>
      </c>
      <c r="Q45" s="121"/>
      <c r="R45" s="121"/>
      <c r="S45" s="121"/>
    </row>
    <row r="46" spans="1:19" ht="66" customHeight="1" x14ac:dyDescent="0.25">
      <c r="A46" s="153"/>
      <c r="B46" s="228" t="s">
        <v>92</v>
      </c>
      <c r="C46" s="228" t="s">
        <v>108</v>
      </c>
      <c r="D46" s="228" t="s">
        <v>67</v>
      </c>
      <c r="E46" s="229">
        <v>50000</v>
      </c>
      <c r="F46" s="228">
        <f>E46*6.75</f>
        <v>337500</v>
      </c>
      <c r="G46" s="195"/>
      <c r="H46" s="152"/>
      <c r="I46" s="152" t="s">
        <v>149</v>
      </c>
      <c r="J46" s="152" t="s">
        <v>117</v>
      </c>
      <c r="K46" s="152"/>
      <c r="L46" s="152"/>
      <c r="M46" s="152"/>
      <c r="N46" s="152"/>
      <c r="O46" s="152"/>
      <c r="P46" s="152">
        <f t="shared" si="0"/>
        <v>0</v>
      </c>
      <c r="Q46" s="121"/>
      <c r="R46" s="121"/>
      <c r="S46" s="121"/>
    </row>
    <row r="47" spans="1:19" ht="48.75" customHeight="1" x14ac:dyDescent="0.25">
      <c r="A47" s="148"/>
      <c r="B47" s="228" t="s">
        <v>186</v>
      </c>
      <c r="C47" s="228" t="s">
        <v>173</v>
      </c>
      <c r="D47" s="228" t="s">
        <v>67</v>
      </c>
      <c r="E47" s="229">
        <v>200000</v>
      </c>
      <c r="F47" s="228">
        <f>E47*10</f>
        <v>2000000</v>
      </c>
      <c r="G47" s="195"/>
      <c r="H47" s="152"/>
      <c r="I47" s="152"/>
      <c r="J47" s="152"/>
      <c r="K47" s="152"/>
      <c r="L47" s="152"/>
      <c r="M47" s="152"/>
      <c r="N47" s="152"/>
      <c r="O47" s="152"/>
      <c r="P47" s="152">
        <f t="shared" si="0"/>
        <v>0</v>
      </c>
      <c r="Q47" s="121"/>
      <c r="R47" s="121"/>
      <c r="S47" s="121"/>
    </row>
    <row r="48" spans="1:19" ht="56.25" customHeight="1" x14ac:dyDescent="0.25">
      <c r="A48" s="148"/>
      <c r="B48" s="152" t="s">
        <v>178</v>
      </c>
      <c r="C48" s="152" t="s">
        <v>182</v>
      </c>
      <c r="D48" s="152" t="s">
        <v>67</v>
      </c>
      <c r="E48" s="205">
        <v>100000</v>
      </c>
      <c r="F48" s="152"/>
      <c r="G48" s="195"/>
      <c r="H48" s="152"/>
      <c r="I48" s="152"/>
      <c r="J48" s="152"/>
      <c r="K48" s="152"/>
      <c r="L48" s="152"/>
      <c r="M48" s="152"/>
      <c r="N48" s="152"/>
      <c r="O48" s="152"/>
      <c r="P48" s="152"/>
      <c r="Q48" s="121"/>
      <c r="R48" s="121"/>
      <c r="S48" s="121"/>
    </row>
    <row r="49" spans="1:19" ht="48.75" customHeight="1" x14ac:dyDescent="0.25">
      <c r="A49" s="148"/>
      <c r="B49" s="152" t="s">
        <v>179</v>
      </c>
      <c r="C49" s="152" t="s">
        <v>182</v>
      </c>
      <c r="D49" s="152" t="s">
        <v>67</v>
      </c>
      <c r="E49" s="205">
        <v>100032</v>
      </c>
      <c r="F49" s="152"/>
      <c r="G49" s="195"/>
      <c r="H49" s="152"/>
      <c r="I49" s="152"/>
      <c r="J49" s="152"/>
      <c r="K49" s="152"/>
      <c r="L49" s="152"/>
      <c r="M49" s="152"/>
      <c r="N49" s="152"/>
      <c r="O49" s="152"/>
      <c r="P49" s="152"/>
      <c r="Q49" s="121"/>
      <c r="R49" s="121"/>
      <c r="S49" s="121"/>
    </row>
    <row r="50" spans="1:19" ht="56.25" customHeight="1" x14ac:dyDescent="0.25">
      <c r="A50" s="148"/>
      <c r="B50" s="152" t="s">
        <v>180</v>
      </c>
      <c r="C50" s="152" t="s">
        <v>183</v>
      </c>
      <c r="D50" s="152" t="s">
        <v>67</v>
      </c>
      <c r="E50" s="205">
        <v>100000</v>
      </c>
      <c r="F50" s="152"/>
      <c r="G50" s="195"/>
      <c r="H50" s="152"/>
      <c r="I50" s="152"/>
      <c r="J50" s="152"/>
      <c r="K50" s="152"/>
      <c r="L50" s="152"/>
      <c r="M50" s="152"/>
      <c r="N50" s="152"/>
      <c r="O50" s="152"/>
      <c r="P50" s="152">
        <f t="shared" si="0"/>
        <v>0</v>
      </c>
      <c r="Q50" s="121"/>
      <c r="R50" s="121"/>
      <c r="S50" s="121"/>
    </row>
    <row r="51" spans="1:19" ht="56.25" customHeight="1" x14ac:dyDescent="0.25">
      <c r="A51" s="148"/>
      <c r="B51" s="152" t="s">
        <v>181</v>
      </c>
      <c r="C51" s="152" t="s">
        <v>184</v>
      </c>
      <c r="D51" s="152" t="s">
        <v>67</v>
      </c>
      <c r="E51" s="205">
        <v>100000</v>
      </c>
      <c r="F51" s="152"/>
      <c r="G51" s="195"/>
      <c r="H51" s="152"/>
      <c r="I51" s="152"/>
      <c r="J51" s="152"/>
      <c r="K51" s="152"/>
      <c r="L51" s="152"/>
      <c r="M51" s="152"/>
      <c r="N51" s="152"/>
      <c r="O51" s="152"/>
      <c r="P51" s="152"/>
      <c r="Q51" s="121"/>
      <c r="R51" s="121"/>
      <c r="S51" s="121"/>
    </row>
    <row r="52" spans="1:19" ht="52.5" customHeight="1" x14ac:dyDescent="0.25">
      <c r="A52" s="148"/>
      <c r="B52" s="152" t="s">
        <v>176</v>
      </c>
      <c r="C52" s="152"/>
      <c r="D52" s="152" t="s">
        <v>67</v>
      </c>
      <c r="E52" s="205">
        <v>150000</v>
      </c>
      <c r="F52" s="152"/>
      <c r="G52" s="195"/>
      <c r="H52" s="152"/>
      <c r="I52" s="152"/>
      <c r="J52" s="152"/>
      <c r="K52" s="152"/>
      <c r="L52" s="152"/>
      <c r="M52" s="152"/>
      <c r="N52" s="152"/>
      <c r="O52" s="152"/>
      <c r="P52" s="152">
        <f t="shared" si="0"/>
        <v>0</v>
      </c>
      <c r="Q52" s="121"/>
      <c r="R52" s="121"/>
      <c r="S52" s="121"/>
    </row>
    <row r="53" spans="1:19" ht="63.75" customHeight="1" x14ac:dyDescent="0.25">
      <c r="A53" s="280" t="s">
        <v>33</v>
      </c>
      <c r="B53" s="280"/>
      <c r="C53" s="280"/>
      <c r="D53" s="280"/>
      <c r="E53" s="118"/>
      <c r="F53" s="154">
        <f>SUM(F32:F52)</f>
        <v>6966500</v>
      </c>
      <c r="G53" s="190"/>
      <c r="P53" s="155">
        <f>SUM(P32:P50)</f>
        <v>14107378.4</v>
      </c>
    </row>
    <row r="54" spans="1:19" s="103" customFormat="1" ht="93.75" customHeight="1" x14ac:dyDescent="0.25">
      <c r="A54" s="23"/>
      <c r="B54" s="23" t="s">
        <v>26</v>
      </c>
      <c r="C54" s="23"/>
      <c r="D54" s="23" t="s">
        <v>15</v>
      </c>
      <c r="E54" s="207"/>
      <c r="F54" s="23">
        <f>'TOTAL '!D12</f>
        <v>5300000</v>
      </c>
      <c r="G54" s="199"/>
      <c r="H54" s="23"/>
      <c r="I54" s="23"/>
      <c r="J54" s="23"/>
      <c r="K54" s="23"/>
      <c r="L54" s="23"/>
      <c r="M54" s="23"/>
      <c r="N54" s="23"/>
      <c r="O54" s="23"/>
      <c r="P54" s="23"/>
    </row>
    <row r="55" spans="1:19" ht="82.8" x14ac:dyDescent="0.25">
      <c r="A55" s="157">
        <v>2</v>
      </c>
      <c r="B55" s="55" t="s">
        <v>13</v>
      </c>
      <c r="C55" s="144"/>
      <c r="D55" s="140" t="s">
        <v>1</v>
      </c>
      <c r="E55" s="145"/>
      <c r="F55" s="146">
        <v>0</v>
      </c>
      <c r="G55" s="208" t="s">
        <v>164</v>
      </c>
      <c r="H55" s="202">
        <v>43971</v>
      </c>
      <c r="I55" s="99" t="s">
        <v>165</v>
      </c>
      <c r="J55" s="144" t="s">
        <v>166</v>
      </c>
      <c r="K55" s="210" t="s">
        <v>167</v>
      </c>
      <c r="L55" s="144" t="s">
        <v>168</v>
      </c>
      <c r="M55" s="145">
        <v>20</v>
      </c>
      <c r="N55" s="144"/>
      <c r="O55" s="144"/>
      <c r="P55" s="146">
        <v>313476</v>
      </c>
    </row>
    <row r="56" spans="1:19" s="121" customFormat="1" ht="87" customHeight="1" x14ac:dyDescent="0.25">
      <c r="A56" s="150"/>
      <c r="B56" s="158" t="s">
        <v>109</v>
      </c>
      <c r="C56" s="144"/>
      <c r="D56" s="150"/>
      <c r="E56" s="145"/>
      <c r="F56" s="152">
        <v>3000000</v>
      </c>
      <c r="G56" s="195"/>
      <c r="H56" s="144"/>
      <c r="I56" s="144"/>
      <c r="J56" s="144"/>
      <c r="K56" s="144"/>
      <c r="L56" s="144"/>
      <c r="M56" s="145"/>
      <c r="N56" s="144"/>
      <c r="O56" s="144"/>
      <c r="P56" s="144">
        <v>0</v>
      </c>
    </row>
    <row r="57" spans="1:19" s="121" customFormat="1" ht="57" customHeight="1" thickBot="1" x14ac:dyDescent="0.3">
      <c r="A57" s="281" t="s">
        <v>33</v>
      </c>
      <c r="B57" s="282"/>
      <c r="C57" s="282"/>
      <c r="D57" s="282"/>
      <c r="E57" s="283"/>
      <c r="F57" s="159">
        <f>SUM(F55:F56)</f>
        <v>3000000</v>
      </c>
      <c r="G57" s="196"/>
      <c r="H57" s="286"/>
      <c r="I57" s="286"/>
      <c r="J57" s="286"/>
      <c r="K57" s="286"/>
      <c r="L57" s="286"/>
      <c r="M57" s="286"/>
      <c r="N57" s="286"/>
      <c r="O57" s="287"/>
      <c r="P57" s="139">
        <f>P55+P56</f>
        <v>313476</v>
      </c>
    </row>
    <row r="58" spans="1:19" s="103" customFormat="1" ht="75" customHeight="1" thickBot="1" x14ac:dyDescent="0.3">
      <c r="A58" s="160"/>
      <c r="B58" s="105" t="s">
        <v>27</v>
      </c>
      <c r="C58" s="161"/>
      <c r="D58" s="161" t="s">
        <v>15</v>
      </c>
      <c r="E58" s="162"/>
      <c r="F58" s="123">
        <f>'TOTAL '!D13</f>
        <v>50000</v>
      </c>
      <c r="G58" s="188"/>
      <c r="H58" s="161"/>
      <c r="I58" s="161"/>
      <c r="J58" s="161"/>
      <c r="K58" s="161"/>
      <c r="L58" s="161"/>
      <c r="M58" s="161"/>
      <c r="N58" s="161"/>
      <c r="O58" s="161"/>
      <c r="P58" s="163"/>
    </row>
    <row r="59" spans="1:19" s="103" customFormat="1" ht="27.75" customHeight="1" x14ac:dyDescent="0.25">
      <c r="A59" s="53"/>
      <c r="B59" s="124" t="s">
        <v>41</v>
      </c>
      <c r="C59" s="140"/>
      <c r="D59" s="140"/>
      <c r="E59" s="142"/>
      <c r="F59" s="53"/>
      <c r="G59" s="184"/>
      <c r="H59" s="140"/>
      <c r="I59" s="140"/>
      <c r="J59" s="140"/>
      <c r="K59" s="140"/>
      <c r="L59" s="140"/>
      <c r="M59" s="140"/>
      <c r="N59" s="140"/>
      <c r="O59" s="140"/>
      <c r="P59" s="140"/>
    </row>
    <row r="60" spans="1:19" s="103" customFormat="1" ht="34.5" customHeight="1" x14ac:dyDescent="0.25">
      <c r="A60" s="14"/>
      <c r="B60" s="124" t="s">
        <v>40</v>
      </c>
      <c r="C60" s="140"/>
      <c r="D60" s="140"/>
      <c r="E60" s="142"/>
      <c r="F60" s="53"/>
      <c r="G60" s="184"/>
      <c r="H60" s="140"/>
      <c r="I60" s="140"/>
      <c r="J60" s="140"/>
      <c r="K60" s="140"/>
      <c r="L60" s="140"/>
      <c r="M60" s="140"/>
      <c r="N60" s="140"/>
      <c r="O60" s="140"/>
      <c r="P60" s="140"/>
    </row>
    <row r="61" spans="1:19" s="103" customFormat="1" ht="46.5" customHeight="1" x14ac:dyDescent="0.25">
      <c r="A61" s="14"/>
      <c r="B61" s="124" t="s">
        <v>39</v>
      </c>
      <c r="C61" s="140"/>
      <c r="D61" s="140"/>
      <c r="E61" s="142"/>
      <c r="F61" s="53"/>
      <c r="G61" s="184"/>
      <c r="H61" s="140"/>
      <c r="I61" s="140"/>
      <c r="J61" s="140"/>
      <c r="K61" s="140"/>
      <c r="L61" s="140"/>
      <c r="M61" s="140"/>
      <c r="N61" s="140"/>
      <c r="O61" s="140"/>
      <c r="P61" s="140"/>
    </row>
    <row r="62" spans="1:19" s="103" customFormat="1" ht="31.5" customHeight="1" thickBot="1" x14ac:dyDescent="0.3">
      <c r="A62" s="14"/>
      <c r="B62" s="164" t="s">
        <v>42</v>
      </c>
      <c r="C62" s="144"/>
      <c r="D62" s="144"/>
      <c r="E62" s="145"/>
      <c r="F62" s="144"/>
      <c r="G62" s="193"/>
      <c r="H62" s="144"/>
      <c r="I62" s="144"/>
      <c r="J62" s="144"/>
      <c r="K62" s="140"/>
      <c r="L62" s="140"/>
      <c r="M62" s="140"/>
      <c r="N62" s="140"/>
      <c r="O62" s="140"/>
      <c r="P62" s="140"/>
    </row>
    <row r="63" spans="1:19" s="121" customFormat="1" ht="36.75" customHeight="1" thickBot="1" x14ac:dyDescent="0.3">
      <c r="A63" s="279" t="s">
        <v>33</v>
      </c>
      <c r="B63" s="279"/>
      <c r="C63" s="279"/>
      <c r="D63" s="279"/>
      <c r="E63" s="118"/>
      <c r="F63" s="165">
        <f>SUM(F59:F62)</f>
        <v>0</v>
      </c>
      <c r="G63" s="197"/>
      <c r="H63" s="166"/>
      <c r="I63" s="166"/>
      <c r="J63" s="166"/>
      <c r="K63" s="166"/>
      <c r="P63" s="135">
        <f>P59+P60+P61+P62</f>
        <v>0</v>
      </c>
    </row>
    <row r="64" spans="1:19" s="103" customFormat="1" ht="90" customHeight="1" thickBot="1" x14ac:dyDescent="0.3">
      <c r="A64" s="160"/>
      <c r="B64" s="105" t="s">
        <v>31</v>
      </c>
      <c r="C64" s="123"/>
      <c r="D64" s="123" t="s">
        <v>15</v>
      </c>
      <c r="E64" s="127"/>
      <c r="F64" s="123">
        <f>'TOTAL '!D14</f>
        <v>350000</v>
      </c>
      <c r="G64" s="188"/>
      <c r="H64" s="123"/>
      <c r="I64" s="123"/>
      <c r="J64" s="123"/>
      <c r="K64" s="123"/>
      <c r="L64" s="123"/>
      <c r="M64" s="123"/>
      <c r="N64" s="123"/>
      <c r="O64" s="123"/>
      <c r="P64" s="136"/>
    </row>
    <row r="65" spans="1:16" ht="87.75" customHeight="1" x14ac:dyDescent="0.25">
      <c r="A65" s="167"/>
      <c r="B65" s="270" t="s">
        <v>43</v>
      </c>
      <c r="C65" s="267"/>
      <c r="D65" s="244" t="s">
        <v>28</v>
      </c>
      <c r="E65" s="268"/>
      <c r="F65" s="269"/>
      <c r="G65" s="263" t="s">
        <v>218</v>
      </c>
      <c r="H65" s="112" t="s">
        <v>221</v>
      </c>
      <c r="I65" s="112"/>
      <c r="J65" s="112"/>
      <c r="K65" s="112"/>
      <c r="L65" s="272" t="s">
        <v>219</v>
      </c>
      <c r="M65" s="272" t="s">
        <v>220</v>
      </c>
      <c r="N65" s="112"/>
      <c r="O65" s="112"/>
      <c r="P65" s="112">
        <v>379240</v>
      </c>
    </row>
    <row r="66" spans="1:16" ht="72.75" customHeight="1" x14ac:dyDescent="0.25">
      <c r="A66" s="167"/>
      <c r="B66" s="14"/>
      <c r="C66" s="148"/>
      <c r="D66" s="144"/>
      <c r="E66" s="145"/>
      <c r="F66" s="148"/>
      <c r="G66" s="198"/>
      <c r="H66" s="148"/>
      <c r="I66" s="148"/>
      <c r="J66" s="148"/>
      <c r="K66" s="148"/>
      <c r="L66" s="271"/>
      <c r="M66" s="271"/>
      <c r="N66" s="148"/>
      <c r="O66" s="148"/>
      <c r="P66" s="148"/>
    </row>
    <row r="67" spans="1:16" s="121" customFormat="1" ht="27.9" customHeight="1" x14ac:dyDescent="0.25">
      <c r="A67" s="168" t="s">
        <v>33</v>
      </c>
      <c r="B67" s="168"/>
      <c r="C67" s="168"/>
      <c r="D67" s="168"/>
      <c r="E67" s="101"/>
      <c r="F67" s="138">
        <f>F65+F66</f>
        <v>0</v>
      </c>
      <c r="G67" s="196"/>
      <c r="H67" s="282"/>
      <c r="I67" s="282"/>
      <c r="J67" s="282"/>
      <c r="K67" s="282"/>
      <c r="L67" s="282"/>
      <c r="M67" s="282"/>
      <c r="N67" s="282"/>
      <c r="O67" s="283"/>
      <c r="P67" s="169">
        <f>P65+P66</f>
        <v>379240</v>
      </c>
    </row>
    <row r="68" spans="1:16" s="121" customFormat="1" ht="39" customHeight="1" x14ac:dyDescent="0.25">
      <c r="A68" s="170"/>
      <c r="B68" s="171" t="s">
        <v>70</v>
      </c>
      <c r="C68" s="172"/>
      <c r="D68" s="173"/>
      <c r="E68" s="174"/>
      <c r="F68" s="171">
        <f>'TOTAL '!D15</f>
        <v>3000000</v>
      </c>
      <c r="G68" s="199"/>
      <c r="H68" s="172"/>
      <c r="I68" s="172"/>
      <c r="J68" s="172"/>
      <c r="K68" s="172"/>
      <c r="L68" s="147"/>
      <c r="M68" s="147"/>
      <c r="N68" s="147"/>
      <c r="O68" s="147"/>
      <c r="P68" s="147"/>
    </row>
    <row r="69" spans="1:16" s="121" customFormat="1" ht="73.5" customHeight="1" x14ac:dyDescent="0.25">
      <c r="A69" s="156">
        <v>1</v>
      </c>
      <c r="B69" s="141" t="s">
        <v>206</v>
      </c>
      <c r="C69" s="140"/>
      <c r="D69" s="140" t="s">
        <v>1</v>
      </c>
      <c r="E69" s="142"/>
      <c r="F69" s="244"/>
      <c r="G69" s="185" t="s">
        <v>208</v>
      </c>
      <c r="H69" s="140" t="s">
        <v>207</v>
      </c>
      <c r="I69" s="245" t="s">
        <v>208</v>
      </c>
      <c r="J69" s="140" t="s">
        <v>209</v>
      </c>
      <c r="K69" s="140"/>
      <c r="L69" s="140"/>
      <c r="M69" s="140"/>
      <c r="N69" s="140"/>
      <c r="O69" s="140"/>
      <c r="P69" s="244">
        <v>60000</v>
      </c>
    </row>
    <row r="70" spans="1:16" s="121" customFormat="1" ht="42.9" customHeight="1" x14ac:dyDescent="0.25">
      <c r="A70" s="157">
        <v>2</v>
      </c>
      <c r="B70" s="231" t="s">
        <v>185</v>
      </c>
      <c r="C70" s="232"/>
      <c r="D70" s="230" t="s">
        <v>1</v>
      </c>
      <c r="E70" s="233"/>
      <c r="F70" s="266"/>
      <c r="G70" s="185" t="s">
        <v>217</v>
      </c>
      <c r="H70" s="144"/>
      <c r="I70" s="144"/>
      <c r="J70" s="144"/>
      <c r="K70" s="144"/>
      <c r="L70" s="144" t="s">
        <v>210</v>
      </c>
      <c r="M70" s="144"/>
      <c r="N70" s="144"/>
      <c r="O70" s="144"/>
      <c r="P70" s="266">
        <v>328020</v>
      </c>
    </row>
    <row r="71" spans="1:16" s="121" customFormat="1" ht="42" customHeight="1" x14ac:dyDescent="0.25">
      <c r="A71" s="144"/>
      <c r="B71" s="144"/>
      <c r="C71" s="144"/>
      <c r="D71" s="144"/>
      <c r="E71" s="145"/>
      <c r="F71" s="152"/>
      <c r="G71" s="195"/>
      <c r="H71" s="144"/>
      <c r="I71" s="144"/>
      <c r="J71" s="144"/>
      <c r="K71" s="144"/>
      <c r="L71" s="144"/>
      <c r="M71" s="144"/>
      <c r="N71" s="144"/>
      <c r="O71" s="144"/>
      <c r="P71" s="146"/>
    </row>
    <row r="72" spans="1:16" ht="29.25" customHeight="1" x14ac:dyDescent="0.25">
      <c r="F72" s="176">
        <f>F69+F70</f>
        <v>0</v>
      </c>
      <c r="P72" s="177">
        <f>P69+P70</f>
        <v>388020</v>
      </c>
    </row>
  </sheetData>
  <mergeCells count="12">
    <mergeCell ref="H57:O57"/>
    <mergeCell ref="H67:O67"/>
    <mergeCell ref="B27:E27"/>
    <mergeCell ref="H30:O30"/>
    <mergeCell ref="A63:D63"/>
    <mergeCell ref="G32:G33"/>
    <mergeCell ref="A24:D24"/>
    <mergeCell ref="A11:D11"/>
    <mergeCell ref="A30:D30"/>
    <mergeCell ref="A53:D53"/>
    <mergeCell ref="A57:E57"/>
    <mergeCell ref="B32:B33"/>
  </mergeCells>
  <pageMargins left="0.7" right="0.7" top="0.75" bottom="0.75" header="0.3" footer="0.3"/>
  <pageSetup paperSize="9" scale="1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view="pageBreakPreview" topLeftCell="B2" zoomScaleNormal="100" zoomScaleSheetLayoutView="100" workbookViewId="0">
      <selection activeCell="F10" sqref="F10"/>
    </sheetView>
  </sheetViews>
  <sheetFormatPr defaultColWidth="9.109375" defaultRowHeight="88.5" customHeight="1" x14ac:dyDescent="0.25"/>
  <cols>
    <col min="1" max="1" width="9.109375" style="2"/>
    <col min="2" max="2" width="36.6640625" style="2" customWidth="1"/>
    <col min="3" max="3" width="29.33203125" style="1" customWidth="1"/>
    <col min="4" max="4" width="13.5546875" style="2" customWidth="1"/>
    <col min="5" max="5" width="12.109375" style="2" customWidth="1"/>
    <col min="6" max="6" width="16.33203125" style="2" customWidth="1"/>
    <col min="7" max="7" width="25.109375" style="2" customWidth="1"/>
    <col min="8" max="8" width="16.5546875" style="2" customWidth="1"/>
    <col min="9" max="9" width="17.5546875" style="2" customWidth="1"/>
    <col min="10" max="11" width="16.33203125" style="2" customWidth="1"/>
    <col min="12" max="13" width="13.44140625" style="2" customWidth="1"/>
    <col min="14" max="14" width="13.109375" style="2" customWidth="1"/>
    <col min="15" max="15" width="12.5546875" style="2" customWidth="1"/>
    <col min="16" max="16" width="15.88671875" style="2" customWidth="1"/>
    <col min="17" max="16384" width="9.109375" style="2"/>
  </cols>
  <sheetData>
    <row r="1" spans="1:16" s="1" customFormat="1" ht="67.5" customHeight="1" x14ac:dyDescent="0.25">
      <c r="B1" s="3"/>
      <c r="C1" s="3" t="s">
        <v>0</v>
      </c>
      <c r="D1" s="3" t="s">
        <v>93</v>
      </c>
      <c r="E1" s="3" t="s">
        <v>76</v>
      </c>
      <c r="F1" s="69" t="s">
        <v>88</v>
      </c>
      <c r="G1" s="3" t="s">
        <v>91</v>
      </c>
      <c r="H1" s="3" t="s">
        <v>96</v>
      </c>
      <c r="I1" s="3" t="s">
        <v>77</v>
      </c>
      <c r="J1" s="3" t="s">
        <v>74</v>
      </c>
      <c r="K1" s="3" t="s">
        <v>75</v>
      </c>
      <c r="L1" s="3" t="s">
        <v>71</v>
      </c>
      <c r="M1" s="3" t="s">
        <v>72</v>
      </c>
      <c r="N1" s="3" t="s">
        <v>73</v>
      </c>
      <c r="O1" s="3" t="s">
        <v>78</v>
      </c>
      <c r="P1" s="3" t="s">
        <v>90</v>
      </c>
    </row>
    <row r="2" spans="1:16" s="1" customFormat="1" ht="27.6" x14ac:dyDescent="0.25">
      <c r="B2" s="61" t="s">
        <v>3</v>
      </c>
      <c r="C2" s="61"/>
      <c r="D2" s="61"/>
      <c r="E2" s="61"/>
      <c r="F2" s="61"/>
      <c r="G2" s="76">
        <f>'TOTAL '!D23</f>
        <v>300000</v>
      </c>
      <c r="H2" s="76"/>
      <c r="I2" s="61"/>
      <c r="J2" s="64"/>
      <c r="K2" s="64"/>
      <c r="L2" s="61"/>
      <c r="M2" s="61"/>
      <c r="N2" s="61"/>
      <c r="O2" s="61"/>
      <c r="P2" s="61"/>
    </row>
    <row r="3" spans="1:16" s="1" customFormat="1" ht="41.4" x14ac:dyDescent="0.25">
      <c r="A3" s="7">
        <v>1</v>
      </c>
      <c r="B3" s="7" t="s">
        <v>5</v>
      </c>
      <c r="C3" s="7" t="s">
        <v>4</v>
      </c>
      <c r="D3" s="7"/>
      <c r="E3" s="7" t="s">
        <v>67</v>
      </c>
      <c r="F3" s="7"/>
      <c r="G3" s="86">
        <v>0</v>
      </c>
      <c r="H3" s="85"/>
      <c r="I3" s="7"/>
      <c r="J3" s="60"/>
      <c r="K3" s="71"/>
      <c r="L3" s="7"/>
      <c r="M3" s="7"/>
      <c r="N3" s="7"/>
      <c r="O3" s="7"/>
      <c r="P3" s="59">
        <v>3125</v>
      </c>
    </row>
    <row r="4" spans="1:16" s="1" customFormat="1" ht="41.4" x14ac:dyDescent="0.25">
      <c r="A4" s="7">
        <v>2</v>
      </c>
      <c r="B4" s="7" t="s">
        <v>6</v>
      </c>
      <c r="C4" s="7" t="s">
        <v>4</v>
      </c>
      <c r="D4" s="7"/>
      <c r="E4" s="4" t="s">
        <v>67</v>
      </c>
      <c r="F4" s="4"/>
      <c r="G4" s="77">
        <v>0</v>
      </c>
      <c r="H4" s="77"/>
      <c r="I4" s="4"/>
      <c r="J4" s="5"/>
      <c r="K4" s="73"/>
      <c r="L4" s="7"/>
      <c r="M4" s="7"/>
      <c r="N4" s="7"/>
      <c r="O4" s="7"/>
      <c r="P4" s="59">
        <v>3125</v>
      </c>
    </row>
    <row r="5" spans="1:16" s="1" customFormat="1" ht="51.6" customHeight="1" x14ac:dyDescent="0.25">
      <c r="A5" s="7"/>
      <c r="B5" s="7"/>
      <c r="C5" s="7"/>
      <c r="D5" s="7"/>
      <c r="E5" s="7"/>
      <c r="F5" s="7"/>
      <c r="G5" s="78"/>
      <c r="H5" s="78"/>
      <c r="I5" s="7"/>
      <c r="J5" s="60"/>
      <c r="K5" s="71"/>
      <c r="L5" s="7"/>
      <c r="M5" s="7"/>
      <c r="N5" s="7"/>
      <c r="O5" s="7"/>
      <c r="P5" s="60"/>
    </row>
    <row r="6" spans="1:16" ht="31.5" customHeight="1" x14ac:dyDescent="0.25">
      <c r="B6" s="2" t="s">
        <v>33</v>
      </c>
      <c r="F6" s="72"/>
      <c r="G6" s="81">
        <f>G3+G4+G5</f>
        <v>0</v>
      </c>
      <c r="H6" s="82"/>
      <c r="I6" s="72"/>
      <c r="J6" s="74"/>
      <c r="K6" s="75"/>
      <c r="L6" s="72"/>
      <c r="P6" s="83">
        <f>SUM(P3:P4)</f>
        <v>6250</v>
      </c>
    </row>
  </sheetData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topLeftCell="B1" zoomScale="81" zoomScaleNormal="41" zoomScaleSheetLayoutView="81" workbookViewId="0">
      <selection activeCell="E16" sqref="E16"/>
    </sheetView>
  </sheetViews>
  <sheetFormatPr defaultColWidth="9.109375" defaultRowHeight="13.8" x14ac:dyDescent="0.25"/>
  <cols>
    <col min="1" max="1" width="25" style="87" customWidth="1"/>
    <col min="2" max="2" width="22.33203125" style="1" customWidth="1"/>
    <col min="3" max="3" width="16.109375" style="2" customWidth="1"/>
    <col min="4" max="4" width="19.44140625" style="2" customWidth="1"/>
    <col min="5" max="5" width="18.109375" style="2" customWidth="1"/>
    <col min="6" max="6" width="17.5546875" style="2" customWidth="1"/>
    <col min="7" max="7" width="20.44140625" style="2" customWidth="1"/>
    <col min="8" max="8" width="19.33203125" style="2" customWidth="1"/>
    <col min="9" max="9" width="17.5546875" style="2" customWidth="1"/>
    <col min="10" max="10" width="19.5546875" style="2" customWidth="1"/>
    <col min="11" max="11" width="21.44140625" style="2" customWidth="1"/>
    <col min="12" max="16384" width="9.109375" style="2"/>
  </cols>
  <sheetData>
    <row r="1" spans="1:11" s="1" customFormat="1" ht="55.2" x14ac:dyDescent="0.3">
      <c r="A1" s="90"/>
      <c r="B1" s="3" t="s">
        <v>0</v>
      </c>
      <c r="C1" s="3" t="s">
        <v>93</v>
      </c>
      <c r="D1" s="3" t="s">
        <v>76</v>
      </c>
      <c r="E1" s="3" t="s">
        <v>91</v>
      </c>
      <c r="F1" s="3" t="s">
        <v>96</v>
      </c>
      <c r="G1" s="3" t="s">
        <v>77</v>
      </c>
      <c r="H1" s="3" t="s">
        <v>99</v>
      </c>
      <c r="I1" s="3" t="s">
        <v>71</v>
      </c>
      <c r="J1" s="3" t="s">
        <v>98</v>
      </c>
      <c r="K1" s="3" t="s">
        <v>90</v>
      </c>
    </row>
    <row r="2" spans="1:11" s="1" customFormat="1" x14ac:dyDescent="0.3">
      <c r="A2" s="91" t="s">
        <v>62</v>
      </c>
      <c r="B2" s="61"/>
      <c r="C2" s="61"/>
      <c r="D2" s="61"/>
      <c r="E2" s="95">
        <f>'TOTAL '!D30</f>
        <v>300000</v>
      </c>
      <c r="F2" s="61"/>
      <c r="G2" s="61"/>
      <c r="H2" s="61"/>
      <c r="I2" s="61"/>
      <c r="J2" s="61"/>
      <c r="K2" s="61"/>
    </row>
    <row r="3" spans="1:11" s="1" customFormat="1" ht="27.6" x14ac:dyDescent="0.3">
      <c r="A3" s="92" t="s">
        <v>7</v>
      </c>
      <c r="B3" s="7" t="s">
        <v>18</v>
      </c>
      <c r="C3" s="7"/>
      <c r="D3" s="7" t="s">
        <v>67</v>
      </c>
      <c r="E3" s="93"/>
      <c r="F3" s="7"/>
      <c r="G3" s="3"/>
      <c r="H3" s="3"/>
      <c r="I3" s="7"/>
      <c r="J3" s="7"/>
      <c r="K3" s="3">
        <f>72000/2</f>
        <v>36000</v>
      </c>
    </row>
    <row r="4" spans="1:11" s="1" customFormat="1" ht="27.6" x14ac:dyDescent="0.3">
      <c r="A4" s="92" t="s">
        <v>11</v>
      </c>
      <c r="B4" s="7" t="s">
        <v>55</v>
      </c>
      <c r="C4" s="7"/>
      <c r="D4" s="7" t="s">
        <v>67</v>
      </c>
      <c r="E4" s="93"/>
      <c r="F4" s="7"/>
      <c r="G4" s="3"/>
      <c r="H4" s="3"/>
      <c r="I4" s="7"/>
      <c r="J4" s="7"/>
      <c r="K4" s="3">
        <f>38400/2</f>
        <v>19200</v>
      </c>
    </row>
    <row r="5" spans="1:11" s="1" customFormat="1" ht="27.6" x14ac:dyDescent="0.3">
      <c r="A5" s="92" t="s">
        <v>10</v>
      </c>
      <c r="B5" s="7" t="s">
        <v>56</v>
      </c>
      <c r="C5" s="7"/>
      <c r="D5" s="7" t="s">
        <v>67</v>
      </c>
      <c r="E5" s="93"/>
      <c r="F5" s="7"/>
      <c r="G5" s="3"/>
      <c r="H5" s="3"/>
      <c r="I5" s="7"/>
      <c r="J5" s="7"/>
      <c r="K5" s="3">
        <f>60000/2</f>
        <v>30000</v>
      </c>
    </row>
    <row r="6" spans="1:11" s="1" customFormat="1" ht="41.4" x14ac:dyDescent="0.3">
      <c r="A6" s="92" t="s">
        <v>19</v>
      </c>
      <c r="B6" s="7" t="s">
        <v>57</v>
      </c>
      <c r="C6" s="7"/>
      <c r="D6" s="7" t="s">
        <v>67</v>
      </c>
      <c r="E6" s="93"/>
      <c r="F6" s="7"/>
      <c r="G6" s="3"/>
      <c r="H6" s="3"/>
      <c r="I6" s="7"/>
      <c r="J6" s="7"/>
      <c r="K6" s="3">
        <f>38400/2</f>
        <v>19200</v>
      </c>
    </row>
    <row r="7" spans="1:11" s="1" customFormat="1" ht="27.6" x14ac:dyDescent="0.3">
      <c r="A7" s="92" t="s">
        <v>9</v>
      </c>
      <c r="B7" s="7" t="s">
        <v>58</v>
      </c>
      <c r="C7" s="7"/>
      <c r="D7" s="7" t="s">
        <v>67</v>
      </c>
      <c r="E7" s="93"/>
      <c r="F7" s="7"/>
      <c r="G7" s="3"/>
      <c r="H7" s="3"/>
      <c r="I7" s="7"/>
      <c r="J7" s="7"/>
      <c r="K7" s="3">
        <f>60000/2</f>
        <v>30000</v>
      </c>
    </row>
    <row r="8" spans="1:11" s="1" customFormat="1" ht="27.6" x14ac:dyDescent="0.3">
      <c r="A8" s="92" t="s">
        <v>8</v>
      </c>
      <c r="B8" s="7" t="s">
        <v>59</v>
      </c>
      <c r="C8" s="7"/>
      <c r="D8" s="7" t="s">
        <v>67</v>
      </c>
      <c r="E8" s="93"/>
      <c r="F8" s="7"/>
      <c r="G8" s="3"/>
      <c r="H8" s="3"/>
      <c r="I8" s="7"/>
      <c r="J8" s="7"/>
      <c r="K8" s="3">
        <f>52800/2</f>
        <v>26400</v>
      </c>
    </row>
    <row r="9" spans="1:11" s="1" customFormat="1" ht="25.5" customHeight="1" x14ac:dyDescent="0.25">
      <c r="A9" s="7" t="s">
        <v>100</v>
      </c>
      <c r="B9" s="7" t="s">
        <v>101</v>
      </c>
      <c r="C9" s="7"/>
      <c r="D9" s="7" t="s">
        <v>67</v>
      </c>
      <c r="E9" s="93">
        <v>1000</v>
      </c>
      <c r="F9" s="7"/>
      <c r="G9" s="3"/>
      <c r="H9" s="3"/>
      <c r="I9" s="7"/>
      <c r="J9" s="7"/>
      <c r="K9" s="3"/>
    </row>
    <row r="10" spans="1:11" ht="27.9" customHeight="1" x14ac:dyDescent="0.25">
      <c r="A10" s="94"/>
      <c r="B10" s="7"/>
      <c r="C10" s="6"/>
      <c r="D10" s="6"/>
      <c r="E10" s="96">
        <f>SUM(E9)</f>
        <v>1000</v>
      </c>
      <c r="F10" s="6"/>
      <c r="G10" s="3"/>
      <c r="H10" s="3"/>
      <c r="I10" s="6"/>
      <c r="J10" s="6"/>
      <c r="K10" s="97">
        <f>SUM(K3:K8)</f>
        <v>160800</v>
      </c>
    </row>
  </sheetData>
  <pageMargins left="0.7" right="0.7" top="0.75" bottom="0.75" header="0.3" footer="0.3"/>
  <pageSetup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4" workbookViewId="0">
      <selection activeCell="H15" sqref="H15"/>
    </sheetView>
  </sheetViews>
  <sheetFormatPr defaultColWidth="9.109375" defaultRowHeight="13.8" x14ac:dyDescent="0.25"/>
  <cols>
    <col min="1" max="1" width="13.44140625" style="134" customWidth="1"/>
    <col min="2" max="2" width="29.88671875" style="121" customWidth="1"/>
    <col min="3" max="3" width="20.88671875" style="134" customWidth="1"/>
    <col min="4" max="4" width="23.44140625" style="134" customWidth="1"/>
    <col min="5" max="5" width="19.44140625" style="134" customWidth="1"/>
    <col min="6" max="6" width="17.44140625" style="134" customWidth="1"/>
    <col min="7" max="7" width="29.109375" style="134" customWidth="1"/>
    <col min="8" max="8" width="18.44140625" style="261" customWidth="1"/>
    <col min="9" max="9" width="17.33203125" style="134" customWidth="1"/>
    <col min="10" max="10" width="15.44140625" style="134" customWidth="1"/>
    <col min="11" max="11" width="22.5546875" style="134" bestFit="1" customWidth="1"/>
    <col min="12" max="12" width="24.33203125" style="134" customWidth="1"/>
    <col min="13" max="14" width="9.109375" style="134"/>
    <col min="15" max="15" width="14.33203125" style="134" customWidth="1"/>
    <col min="16" max="17" width="9.109375" style="134"/>
    <col min="18" max="18" width="13.6640625" style="134" customWidth="1"/>
    <col min="19" max="16384" width="9.109375" style="134"/>
  </cols>
  <sheetData>
    <row r="1" spans="1:14" s="237" customFormat="1" ht="55.2" x14ac:dyDescent="0.25">
      <c r="A1" s="252" t="s">
        <v>21</v>
      </c>
      <c r="B1" s="252" t="s">
        <v>0</v>
      </c>
      <c r="C1" s="252" t="s">
        <v>139</v>
      </c>
      <c r="D1" s="252" t="s">
        <v>77</v>
      </c>
      <c r="E1" s="252" t="s">
        <v>74</v>
      </c>
      <c r="F1" s="252" t="s">
        <v>75</v>
      </c>
      <c r="G1" s="252" t="s">
        <v>72</v>
      </c>
      <c r="H1" s="253" t="s">
        <v>73</v>
      </c>
      <c r="I1" s="252" t="s">
        <v>159</v>
      </c>
      <c r="J1" s="252" t="s">
        <v>78</v>
      </c>
      <c r="K1" s="252" t="s">
        <v>90</v>
      </c>
    </row>
    <row r="2" spans="1:14" s="20" customFormat="1" ht="41.4" x14ac:dyDescent="0.25">
      <c r="A2" s="109">
        <v>1</v>
      </c>
      <c r="B2" s="110" t="s">
        <v>66</v>
      </c>
      <c r="C2" s="238" t="s">
        <v>79</v>
      </c>
      <c r="D2" s="238" t="s">
        <v>80</v>
      </c>
      <c r="E2" s="112" t="s">
        <v>81</v>
      </c>
      <c r="F2" s="112" t="s">
        <v>82</v>
      </c>
      <c r="G2" s="238" t="s">
        <v>103</v>
      </c>
      <c r="H2" s="254">
        <v>54000</v>
      </c>
      <c r="I2" s="113"/>
      <c r="J2" s="112">
        <v>3.33</v>
      </c>
      <c r="K2" s="112">
        <f>H2*J2</f>
        <v>179820</v>
      </c>
    </row>
    <row r="3" spans="1:14" s="20" customFormat="1" ht="42" thickBot="1" x14ac:dyDescent="0.3">
      <c r="A3" s="109">
        <v>2</v>
      </c>
      <c r="B3" s="141" t="s">
        <v>17</v>
      </c>
      <c r="C3" s="110" t="s">
        <v>160</v>
      </c>
      <c r="D3" s="202">
        <v>43972</v>
      </c>
      <c r="E3" s="99" t="s">
        <v>161</v>
      </c>
      <c r="F3" s="140"/>
      <c r="G3" s="140" t="s">
        <v>162</v>
      </c>
      <c r="H3" s="255">
        <v>30</v>
      </c>
      <c r="I3" s="140"/>
      <c r="J3" s="143">
        <v>13447.92</v>
      </c>
      <c r="K3" s="143">
        <f>H3*J3</f>
        <v>403437.6</v>
      </c>
    </row>
    <row r="4" spans="1:14" s="121" customFormat="1" ht="30" customHeight="1" x14ac:dyDescent="0.25">
      <c r="A4" s="292">
        <v>3</v>
      </c>
      <c r="B4" s="284" t="s">
        <v>125</v>
      </c>
      <c r="C4" s="294" t="s">
        <v>111</v>
      </c>
      <c r="D4" s="178" t="s">
        <v>130</v>
      </c>
      <c r="E4" s="179" t="s">
        <v>128</v>
      </c>
      <c r="F4" s="140" t="s">
        <v>82</v>
      </c>
      <c r="G4" s="144" t="s">
        <v>119</v>
      </c>
      <c r="H4" s="255">
        <v>97000</v>
      </c>
      <c r="I4" s="140" t="s">
        <v>119</v>
      </c>
      <c r="J4" s="140" t="s">
        <v>112</v>
      </c>
      <c r="K4" s="143">
        <v>504400</v>
      </c>
    </row>
    <row r="5" spans="1:14" ht="21.75" customHeight="1" x14ac:dyDescent="0.25">
      <c r="A5" s="293"/>
      <c r="B5" s="285"/>
      <c r="C5" s="295"/>
      <c r="D5" s="178"/>
      <c r="E5" s="179" t="s">
        <v>128</v>
      </c>
      <c r="F5" s="145" t="s">
        <v>82</v>
      </c>
      <c r="G5" s="145" t="s">
        <v>114</v>
      </c>
      <c r="H5" s="256" t="s">
        <v>113</v>
      </c>
      <c r="I5" s="140" t="s">
        <v>119</v>
      </c>
      <c r="J5" s="145" t="s">
        <v>112</v>
      </c>
      <c r="K5" s="143">
        <v>520000</v>
      </c>
    </row>
    <row r="6" spans="1:14" s="121" customFormat="1" ht="41.4" x14ac:dyDescent="0.25">
      <c r="A6" s="109">
        <v>4</v>
      </c>
      <c r="B6" s="55" t="s">
        <v>126</v>
      </c>
      <c r="C6" s="44" t="s">
        <v>118</v>
      </c>
      <c r="D6" s="180" t="s">
        <v>129</v>
      </c>
      <c r="E6" s="179" t="s">
        <v>147</v>
      </c>
      <c r="F6" s="144" t="s">
        <v>82</v>
      </c>
      <c r="G6" s="144" t="s">
        <v>119</v>
      </c>
      <c r="H6" s="256">
        <v>50000</v>
      </c>
      <c r="I6" s="144" t="s">
        <v>119</v>
      </c>
      <c r="J6" s="144"/>
      <c r="K6" s="146">
        <v>612200</v>
      </c>
    </row>
    <row r="7" spans="1:14" s="121" customFormat="1" ht="48" customHeight="1" x14ac:dyDescent="0.25">
      <c r="A7" s="262">
        <v>5</v>
      </c>
      <c r="B7" s="55" t="s">
        <v>12</v>
      </c>
      <c r="C7" s="178" t="s">
        <v>120</v>
      </c>
      <c r="D7" s="201" t="s">
        <v>121</v>
      </c>
      <c r="E7" s="181" t="s">
        <v>152</v>
      </c>
      <c r="F7" s="144" t="s">
        <v>124</v>
      </c>
      <c r="G7" s="144" t="s">
        <v>119</v>
      </c>
      <c r="H7" s="257" t="s">
        <v>122</v>
      </c>
      <c r="I7" s="144" t="s">
        <v>119</v>
      </c>
      <c r="J7" s="144" t="s">
        <v>123</v>
      </c>
      <c r="K7" s="146">
        <v>338708</v>
      </c>
    </row>
    <row r="8" spans="1:14" s="121" customFormat="1" ht="55.2" x14ac:dyDescent="0.25">
      <c r="A8" s="262">
        <v>6</v>
      </c>
      <c r="B8" s="55" t="s">
        <v>127</v>
      </c>
      <c r="C8" s="44" t="s">
        <v>135</v>
      </c>
      <c r="D8" s="178" t="s">
        <v>136</v>
      </c>
      <c r="E8" s="99" t="s">
        <v>131</v>
      </c>
      <c r="F8" s="144" t="s">
        <v>124</v>
      </c>
      <c r="G8" s="144" t="s">
        <v>138</v>
      </c>
      <c r="H8" s="256">
        <v>1800</v>
      </c>
      <c r="I8" s="144" t="s">
        <v>155</v>
      </c>
      <c r="J8" s="144"/>
      <c r="K8" s="146">
        <v>5685100</v>
      </c>
    </row>
    <row r="9" spans="1:14" ht="55.2" x14ac:dyDescent="0.25">
      <c r="A9" s="262">
        <v>7</v>
      </c>
      <c r="B9" s="14" t="s">
        <v>116</v>
      </c>
      <c r="C9" s="178" t="s">
        <v>118</v>
      </c>
      <c r="D9" s="178" t="s">
        <v>170</v>
      </c>
      <c r="E9" s="146" t="s">
        <v>147</v>
      </c>
      <c r="F9" s="146" t="s">
        <v>117</v>
      </c>
      <c r="G9" s="146" t="s">
        <v>169</v>
      </c>
      <c r="H9" s="258">
        <v>100000</v>
      </c>
      <c r="I9" s="146"/>
      <c r="J9" s="146">
        <v>9.1875</v>
      </c>
      <c r="K9" s="146">
        <f>H9*J9</f>
        <v>918750</v>
      </c>
      <c r="L9" s="121"/>
      <c r="M9" s="121"/>
      <c r="N9" s="121"/>
    </row>
    <row r="10" spans="1:14" ht="27.6" x14ac:dyDescent="0.25">
      <c r="A10" s="262">
        <v>8</v>
      </c>
      <c r="B10" s="14" t="s">
        <v>132</v>
      </c>
      <c r="C10" s="44" t="s">
        <v>137</v>
      </c>
      <c r="D10" s="178" t="s">
        <v>134</v>
      </c>
      <c r="E10" s="99" t="s">
        <v>131</v>
      </c>
      <c r="F10" s="144" t="s">
        <v>82</v>
      </c>
      <c r="G10" s="144" t="s">
        <v>172</v>
      </c>
      <c r="H10" s="256" t="s">
        <v>133</v>
      </c>
      <c r="I10" s="202">
        <v>44134</v>
      </c>
      <c r="J10" s="144"/>
      <c r="K10" s="146">
        <v>478240.4</v>
      </c>
      <c r="L10" s="121"/>
      <c r="M10" s="121"/>
      <c r="N10" s="121"/>
    </row>
    <row r="11" spans="1:14" ht="38.25" customHeight="1" x14ac:dyDescent="0.25">
      <c r="A11" s="262">
        <v>9</v>
      </c>
      <c r="B11" s="14" t="s">
        <v>188</v>
      </c>
      <c r="C11" s="44" t="s">
        <v>189</v>
      </c>
      <c r="D11" s="178" t="s">
        <v>190</v>
      </c>
      <c r="E11" s="146" t="s">
        <v>128</v>
      </c>
      <c r="F11" s="146" t="s">
        <v>117</v>
      </c>
      <c r="G11" s="146" t="s">
        <v>154</v>
      </c>
      <c r="H11" s="258">
        <v>400000</v>
      </c>
      <c r="I11" s="146"/>
      <c r="J11" s="146"/>
      <c r="K11" s="146">
        <v>4200000</v>
      </c>
      <c r="L11" s="121"/>
      <c r="M11" s="121"/>
      <c r="N11" s="121"/>
    </row>
    <row r="12" spans="1:14" ht="41.4" x14ac:dyDescent="0.25">
      <c r="A12" s="262">
        <v>10</v>
      </c>
      <c r="B12" s="146" t="s">
        <v>144</v>
      </c>
      <c r="C12" s="44" t="s">
        <v>192</v>
      </c>
      <c r="D12" s="178" t="s">
        <v>191</v>
      </c>
      <c r="E12" s="146" t="s">
        <v>148</v>
      </c>
      <c r="F12" s="146" t="s">
        <v>117</v>
      </c>
      <c r="G12" s="146" t="s">
        <v>153</v>
      </c>
      <c r="H12" s="259" t="s">
        <v>187</v>
      </c>
      <c r="I12" s="146"/>
      <c r="J12" s="216">
        <v>298</v>
      </c>
      <c r="K12" s="146">
        <v>356000</v>
      </c>
      <c r="L12" s="121"/>
      <c r="M12" s="121"/>
      <c r="N12" s="121"/>
    </row>
    <row r="13" spans="1:14" s="121" customFormat="1" ht="41.4" x14ac:dyDescent="0.25">
      <c r="A13" s="262">
        <v>11</v>
      </c>
      <c r="B13" s="246" t="s">
        <v>29</v>
      </c>
      <c r="C13" s="44" t="s">
        <v>212</v>
      </c>
      <c r="D13" s="178" t="s">
        <v>211</v>
      </c>
      <c r="E13" s="146" t="s">
        <v>213</v>
      </c>
      <c r="F13" s="146" t="s">
        <v>82</v>
      </c>
      <c r="G13" s="152"/>
      <c r="H13" s="247">
        <v>1</v>
      </c>
      <c r="I13" s="152"/>
      <c r="J13" s="152"/>
      <c r="K13" s="152">
        <v>493980</v>
      </c>
    </row>
    <row r="14" spans="1:14" ht="27.6" x14ac:dyDescent="0.25">
      <c r="A14" s="262">
        <v>12</v>
      </c>
      <c r="B14" s="144" t="s">
        <v>175</v>
      </c>
      <c r="C14" s="14" t="s">
        <v>120</v>
      </c>
      <c r="D14" s="144" t="s">
        <v>195</v>
      </c>
      <c r="E14" s="144" t="s">
        <v>196</v>
      </c>
      <c r="F14" s="144"/>
      <c r="G14" s="144" t="s">
        <v>197</v>
      </c>
      <c r="H14" s="257" t="s">
        <v>200</v>
      </c>
      <c r="I14" s="144"/>
      <c r="J14" s="144" t="s">
        <v>198</v>
      </c>
      <c r="K14" s="144" t="s">
        <v>199</v>
      </c>
      <c r="L14" s="121"/>
      <c r="M14" s="121"/>
      <c r="N14" s="121"/>
    </row>
    <row r="15" spans="1:14" ht="82.8" x14ac:dyDescent="0.25">
      <c r="A15" s="262">
        <v>13</v>
      </c>
      <c r="B15" s="55" t="s">
        <v>13</v>
      </c>
      <c r="C15" s="110" t="s">
        <v>164</v>
      </c>
      <c r="D15" s="202">
        <v>43971</v>
      </c>
      <c r="E15" s="99" t="s">
        <v>165</v>
      </c>
      <c r="F15" s="144" t="s">
        <v>166</v>
      </c>
      <c r="G15" s="144" t="s">
        <v>168</v>
      </c>
      <c r="H15" s="145">
        <v>20</v>
      </c>
      <c r="I15" s="144"/>
      <c r="J15" s="144"/>
      <c r="K15" s="146">
        <v>313476</v>
      </c>
    </row>
    <row r="16" spans="1:14" s="121" customFormat="1" ht="27.6" x14ac:dyDescent="0.25">
      <c r="A16" s="262">
        <v>14</v>
      </c>
      <c r="B16" s="248" t="s">
        <v>206</v>
      </c>
      <c r="C16" s="249" t="s">
        <v>208</v>
      </c>
      <c r="D16" s="250" t="s">
        <v>207</v>
      </c>
      <c r="E16" s="251" t="s">
        <v>208</v>
      </c>
      <c r="F16" s="250" t="s">
        <v>209</v>
      </c>
      <c r="G16" s="250" t="s">
        <v>214</v>
      </c>
      <c r="H16" s="260"/>
      <c r="I16" s="250"/>
      <c r="J16" s="250"/>
      <c r="K16" s="243">
        <v>60000</v>
      </c>
    </row>
  </sheetData>
  <mergeCells count="3"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TOTAL </vt:lpstr>
      <vt:lpstr> WORKS I</vt:lpstr>
      <vt:lpstr> GOODS I</vt:lpstr>
      <vt:lpstr> CS I </vt:lpstr>
      <vt:lpstr>CS COMP.III</vt:lpstr>
      <vt:lpstr>signed contracts</vt:lpstr>
      <vt:lpstr>' GOODS I'!Print_Area</vt:lpstr>
      <vt:lpstr>' WORKS I'!Print_Area</vt:lpstr>
      <vt:lpstr>'TOTAL '!Print_Area</vt:lpstr>
    </vt:vector>
  </TitlesOfParts>
  <Manager/>
  <Company>The World Bank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wb323203</dc:creator>
  <cp:keywords/>
  <dc:description/>
  <cp:lastModifiedBy>Nino Kvernadze</cp:lastModifiedBy>
  <cp:lastPrinted>2020-07-20T08:40:14Z</cp:lastPrinted>
  <dcterms:created xsi:type="dcterms:W3CDTF">2008-08-01T19:30:21Z</dcterms:created>
  <dcterms:modified xsi:type="dcterms:W3CDTF">2020-10-04T16:42:41Z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